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программа\26.02.2021\"/>
    </mc:Choice>
  </mc:AlternateContent>
  <bookViews>
    <workbookView xWindow="-120" yWindow="-120" windowWidth="29040" windowHeight="15840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4" i="1" l="1"/>
  <c r="F44" i="1" l="1"/>
  <c r="F31" i="1"/>
  <c r="M25" i="1"/>
  <c r="M27" i="1" s="1"/>
  <c r="M28" i="1" s="1"/>
  <c r="G32" i="1" l="1"/>
  <c r="G31" i="1" l="1"/>
  <c r="N20" i="1"/>
  <c r="G91" i="1"/>
  <c r="G88" i="1"/>
  <c r="G89" i="1"/>
  <c r="G90" i="1"/>
  <c r="G54" i="1"/>
  <c r="G28" i="1"/>
  <c r="F86" i="1" l="1"/>
  <c r="F85" i="1"/>
  <c r="C65" i="1"/>
  <c r="C64" i="1"/>
  <c r="C43" i="1"/>
  <c r="E66" i="1" l="1"/>
  <c r="D63" i="1"/>
  <c r="C63" i="1" s="1"/>
  <c r="E39" i="1"/>
  <c r="E44" i="1" s="1"/>
  <c r="E16" i="1" s="1"/>
  <c r="D39" i="1" l="1"/>
  <c r="C39" i="1" s="1"/>
  <c r="C42" i="1"/>
  <c r="C41" i="1"/>
  <c r="C40" i="1"/>
  <c r="E49" i="1"/>
  <c r="C36" i="1"/>
  <c r="C35" i="1"/>
  <c r="D78" i="1" l="1"/>
  <c r="D27" i="1" l="1"/>
  <c r="D25" i="1"/>
  <c r="D19" i="1"/>
  <c r="D22" i="1"/>
  <c r="D56" i="1" l="1"/>
  <c r="D61" i="1" l="1"/>
  <c r="D55" i="1"/>
  <c r="D54" i="1"/>
  <c r="D53" i="1"/>
  <c r="D51" i="1"/>
  <c r="D47" i="1"/>
  <c r="D49" i="1" s="1"/>
  <c r="D20" i="1" l="1"/>
  <c r="C56" i="1" l="1"/>
  <c r="D86" i="1" l="1"/>
  <c r="D89" i="1"/>
  <c r="D91" i="1"/>
  <c r="D87" i="1"/>
  <c r="D92" i="1"/>
  <c r="C80" i="1" l="1"/>
  <c r="F55" i="1" l="1"/>
  <c r="G57" i="1" l="1"/>
  <c r="C62" i="1"/>
  <c r="C58" i="1"/>
  <c r="F54" i="1"/>
  <c r="F52" i="1" s="1"/>
  <c r="F61" i="1" l="1"/>
  <c r="F66" i="1" s="1"/>
  <c r="D90" i="1"/>
  <c r="D88" i="1"/>
  <c r="D85" i="1"/>
  <c r="D84" i="1"/>
  <c r="D57" i="1" l="1"/>
  <c r="D52" i="1" s="1"/>
  <c r="D66" i="1" s="1"/>
  <c r="D94" i="1" l="1"/>
  <c r="C38" i="1" l="1"/>
  <c r="C37" i="1" l="1"/>
  <c r="D72" i="1" l="1"/>
  <c r="D71" i="1"/>
  <c r="C33" i="1"/>
  <c r="D30" i="1"/>
  <c r="D29" i="1"/>
  <c r="D18" i="1"/>
  <c r="D75" i="1" l="1"/>
  <c r="D74" i="1"/>
  <c r="G70" i="1"/>
  <c r="G68" i="1" s="1"/>
  <c r="F68" i="1"/>
  <c r="F81" i="1" s="1"/>
  <c r="C79" i="1"/>
  <c r="C78" i="1"/>
  <c r="C77" i="1"/>
  <c r="D73" i="1" l="1"/>
  <c r="C60" i="1"/>
  <c r="F83" i="1" l="1"/>
  <c r="F96" i="1" s="1"/>
  <c r="G83" i="1"/>
  <c r="G96" i="1" s="1"/>
  <c r="L96" i="1" s="1"/>
  <c r="M96" i="1" s="1"/>
  <c r="D83" i="1"/>
  <c r="D96" i="1" s="1"/>
  <c r="D68" i="1"/>
  <c r="D81" i="1" s="1"/>
  <c r="C75" i="1"/>
  <c r="C86" i="1" l="1"/>
  <c r="C87" i="1"/>
  <c r="C88" i="1"/>
  <c r="C89" i="1"/>
  <c r="C90" i="1"/>
  <c r="C91" i="1"/>
  <c r="C92" i="1"/>
  <c r="C93" i="1"/>
  <c r="C94" i="1"/>
  <c r="C95" i="1"/>
  <c r="G81" i="1"/>
  <c r="K81" i="1" s="1"/>
  <c r="C71" i="1"/>
  <c r="C72" i="1"/>
  <c r="C76" i="1"/>
  <c r="C84" i="1"/>
  <c r="C85" i="1"/>
  <c r="C96" i="1" l="1"/>
  <c r="C81" i="1"/>
  <c r="C83" i="1"/>
  <c r="G52" i="1"/>
  <c r="G66" i="1" s="1"/>
  <c r="L66" i="1" s="1"/>
  <c r="C53" i="1"/>
  <c r="C54" i="1"/>
  <c r="C55" i="1"/>
  <c r="C57" i="1"/>
  <c r="C59" i="1"/>
  <c r="C61" i="1"/>
  <c r="C69" i="1"/>
  <c r="C74" i="1"/>
  <c r="C73" i="1" s="1"/>
  <c r="C70" i="1"/>
  <c r="F49" i="1"/>
  <c r="G49" i="1"/>
  <c r="F28" i="1"/>
  <c r="D28" i="1"/>
  <c r="D44" i="1" s="1"/>
  <c r="D16" i="1" s="1"/>
  <c r="L17" i="1" s="1"/>
  <c r="L20" i="1" s="1"/>
  <c r="F23" i="1"/>
  <c r="G23" i="1"/>
  <c r="F18" i="1"/>
  <c r="G18" i="1"/>
  <c r="C19" i="1"/>
  <c r="C20" i="1"/>
  <c r="C21" i="1"/>
  <c r="C22" i="1"/>
  <c r="C24" i="1"/>
  <c r="C25" i="1"/>
  <c r="C26" i="1"/>
  <c r="C27" i="1"/>
  <c r="C29" i="1"/>
  <c r="C30" i="1"/>
  <c r="C31" i="1"/>
  <c r="C32" i="1"/>
  <c r="C34" i="1"/>
  <c r="C46" i="1"/>
  <c r="C47" i="1"/>
  <c r="C48" i="1"/>
  <c r="C51" i="1"/>
  <c r="L52" i="1" l="1"/>
  <c r="C49" i="1"/>
  <c r="C18" i="1"/>
  <c r="C23" i="1"/>
  <c r="C28" i="1"/>
  <c r="C68" i="1"/>
  <c r="C52" i="1"/>
  <c r="F16" i="1" l="1"/>
  <c r="C44" i="1"/>
  <c r="C66" i="1"/>
  <c r="G16" i="1"/>
  <c r="M19" i="1" l="1"/>
  <c r="M20" i="1" s="1"/>
  <c r="K17" i="1"/>
  <c r="L15" i="1"/>
  <c r="C16" i="1"/>
</calcChain>
</file>

<file path=xl/sharedStrings.xml><?xml version="1.0" encoding="utf-8"?>
<sst xmlns="http://schemas.openxmlformats.org/spreadsheetml/2006/main" count="299" uniqueCount="235">
  <si>
    <t>УТВЕРЖДЕН</t>
  </si>
  <si>
    <t>постановлением администрации</t>
  </si>
  <si>
    <t>муниципального образования</t>
  </si>
  <si>
    <t>город Новороссийск</t>
  </si>
  <si>
    <t xml:space="preserve">ПЕРЕЧЕНЬ ОСНОВНЫХ МЕРОПРИЯТИЙ </t>
  </si>
  <si>
    <t>№</t>
  </si>
  <si>
    <t>Наименование мероприятия</t>
  </si>
  <si>
    <t xml:space="preserve">Объемы финансирования, всего (тыс.руб.) </t>
  </si>
  <si>
    <t>В том числе по годам</t>
  </si>
  <si>
    <t>Непосредственный результат реализации программы</t>
  </si>
  <si>
    <t>Муниципальный заказчик, главный распорядитель бюджетных средств, исполнитель</t>
  </si>
  <si>
    <t>(тыс. руб.)</t>
  </si>
  <si>
    <t>Приложение № 2</t>
  </si>
  <si>
    <t xml:space="preserve">МУНИЦИПАЛЬНОЙ ПРОГРАММЫ «ОБЕСПЕЧЕНИЕ БЕЗОПАСНОСТИ НАСЕЛЕНИЯ В ГОРОДЕ НОВОРОССИЙСКЕ» НА 2020-2022 ГОДЫ </t>
  </si>
  <si>
    <t>Итого по программе:</t>
  </si>
  <si>
    <t>1.1</t>
  </si>
  <si>
    <t>Содержание муниципальных учреждений: МКУ «Управление по делам ГО и ЧС»</t>
  </si>
  <si>
    <t>Реализация мер, направленных на предупреждение населения о возникновении чрезвычайных ситуаций:</t>
  </si>
  <si>
    <t>изготовление памяток по действию населения в ЧС;</t>
  </si>
  <si>
    <t>приобретение медикаментов для ликвидации ЧС</t>
  </si>
  <si>
    <t>1.2</t>
  </si>
  <si>
    <t>Создание финансового резерва для ликвидации ЧС</t>
  </si>
  <si>
    <t>1.3</t>
  </si>
  <si>
    <t>Мероприятия по обеспечению мобилизационной готовности экономики</t>
  </si>
  <si>
    <t>1.4</t>
  </si>
  <si>
    <t>Совершенствование системы управления, оповещения и связи гражданской обороны и защиты населения от чрезвычайных ситуаций</t>
  </si>
  <si>
    <t>Оплата радиочастот работы системы оповещения</t>
  </si>
  <si>
    <t>Совершенствование мобильной системы оповещения</t>
  </si>
  <si>
    <t>Наращивание материальной базы МКУ УГОиЧС</t>
  </si>
  <si>
    <t>Создание резерва материально-технических средств для выполнения мероприятий при ликвидации ЧС для полевого командного пункта</t>
  </si>
  <si>
    <t>1.5</t>
  </si>
  <si>
    <t xml:space="preserve">Наращивание материально технической базы пунктов временного размещения </t>
  </si>
  <si>
    <t>Наращивание МТБ для пунктов временного размещения</t>
  </si>
  <si>
    <t>Совершенствование передвижного пункта управления главы</t>
  </si>
  <si>
    <t>1.6</t>
  </si>
  <si>
    <t>1.7</t>
  </si>
  <si>
    <t>Содержание муниципальных учреждений: МБУ ПАСС «Служба спасения»</t>
  </si>
  <si>
    <t>1.8</t>
  </si>
  <si>
    <t>Содержание муниципальных учреждений: МБОУ ДПО «Курсы гражданской обороны города Новороссийска»</t>
  </si>
  <si>
    <t>Подпрограмма «Пожарная безопасность населения»</t>
  </si>
  <si>
    <t>Подпрограмма «Мероприятия по гражданской обороне, предупреждению и ликвидации чрезвычайных ситуаций, 
стихийных бедствий и их последствий»</t>
  </si>
  <si>
    <t>Итого по подпрограмме:</t>
  </si>
  <si>
    <t>2.1</t>
  </si>
  <si>
    <t>Поддержка общественной организации ДПО МО город Новороссийск</t>
  </si>
  <si>
    <t>2.2</t>
  </si>
  <si>
    <t>Создание постов мониторинга пожарной безопасности и безопасности на воде</t>
  </si>
  <si>
    <t>2.3</t>
  </si>
  <si>
    <t>Содержание муниципальных учреждений: МБУ "Пожарная охрана г.Новороссийск"</t>
  </si>
  <si>
    <t>Подпрограмма «Комплексное обеспечение безопасности жизнедеятельности населения (Безопасный город)</t>
  </si>
  <si>
    <t>3</t>
  </si>
  <si>
    <t>3.1</t>
  </si>
  <si>
    <t>3.2</t>
  </si>
  <si>
    <t>Совершенствование и поддержание работоспособности системы оповещения и мониторинга</t>
  </si>
  <si>
    <t>Обслуживание системы оповещения населения КСЭОН</t>
  </si>
  <si>
    <t>Обслуживание системы паводкового контроля (датчиков уровня воды)</t>
  </si>
  <si>
    <t>Совершенствование системы КСЭОН (приобретение сирено-речевых установок)</t>
  </si>
  <si>
    <t>3.3</t>
  </si>
  <si>
    <t>Функционирование АПК "Тайфун"</t>
  </si>
  <si>
    <t>3.4</t>
  </si>
  <si>
    <t>Мероприятия по укреплению правопорядка, профилактике правонарушений, усилению борьбы с преступностью</t>
  </si>
  <si>
    <t>Изготовление баннеров направленных на профилактику правонарушений</t>
  </si>
  <si>
    <t>Изготовление памяток (листовок) по профилактике правонарушений</t>
  </si>
  <si>
    <t>Подпрограмма «Укрепление правопорядка, профилактика правонарушений среди населения»</t>
  </si>
  <si>
    <t>4</t>
  </si>
  <si>
    <t>4.1</t>
  </si>
  <si>
    <t>5</t>
  </si>
  <si>
    <t>5.1</t>
  </si>
  <si>
    <t>Пост охраны Советов 18</t>
  </si>
  <si>
    <t>Создание и функционирование муниципальной диспетчерской ГЛОНАСС включая обеспечение бесперебойной работы ПО Pikas</t>
  </si>
  <si>
    <t xml:space="preserve">Организация работы по выполнению закона Краснодарского края от 228.06.2007 года № 1267-КЗ </t>
  </si>
  <si>
    <t>4.3</t>
  </si>
  <si>
    <t>Приобретение сигнальных жилетов для добровольных народных дружин</t>
  </si>
  <si>
    <t>Приобретение удостоверений народных дружинников</t>
  </si>
  <si>
    <t xml:space="preserve"> Составление проектов на изготовление и установку модульных строений – участковых пунктов полиции</t>
  </si>
  <si>
    <t>Приобретение и установка модульных строений, участковых пунктов полиции</t>
  </si>
  <si>
    <t>Охрана территории Набережной им. Адмирала Серебрякова (зона въезда на морской вокзал), ул. Н. Республики;</t>
  </si>
  <si>
    <t>Охрана территории мемориального комплекса «Площадь героев» ул. Мира</t>
  </si>
  <si>
    <t xml:space="preserve">Охрана Набережной на летний период (июнь-август) </t>
  </si>
  <si>
    <t>Охрана мемориала «Малая Земля»</t>
  </si>
  <si>
    <t>Приобретение  стационарных рамочных металлодетекторов с эксплуатацией вне помещений (БЛОКПОСТ PC)</t>
  </si>
  <si>
    <t xml:space="preserve">Проведение социологических исследований с целью определения эффективности мер профилактики и борьбы с правонарушениями и террористическими угрозами </t>
  </si>
  <si>
    <t>Предоставление гранта некоммерческим реестровым казачьим обществам</t>
  </si>
  <si>
    <t xml:space="preserve">Выполнение требований постановления правительства № 272 от 25 марта 2015 года «Об утверждении требований к антитеррористической защищенности мест массового пребывания людей» </t>
  </si>
  <si>
    <t>Администрация 
МКУ «Управление по делам ГО и ЧС»</t>
  </si>
  <si>
    <t xml:space="preserve">МБУ ПАСС «Служба спасения»,
МБУ «Пожарная охрана»
</t>
  </si>
  <si>
    <t>МБУ «Пожарная охрана
 города Новороссийска»</t>
  </si>
  <si>
    <t xml:space="preserve">Администрация 
г. Новороссийск
</t>
  </si>
  <si>
    <t>По решению КС для 
ликвидации ЧС</t>
  </si>
  <si>
    <t>1.1.1</t>
  </si>
  <si>
    <t>1.1.2</t>
  </si>
  <si>
    <t>1.4.1</t>
  </si>
  <si>
    <t>1.4.2</t>
  </si>
  <si>
    <t>1.4.3</t>
  </si>
  <si>
    <t>1.5.1</t>
  </si>
  <si>
    <t>1.5.2</t>
  </si>
  <si>
    <t>3.2.2</t>
  </si>
  <si>
    <t>3.2.3</t>
  </si>
  <si>
    <t>3.2.4</t>
  </si>
  <si>
    <t>4.1.1</t>
  </si>
  <si>
    <t>4.1.2</t>
  </si>
  <si>
    <t>4.1.3</t>
  </si>
  <si>
    <t>4.1.4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</si>
  <si>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</si>
  <si>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</si>
  <si>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</si>
  <si>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</si>
  <si>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</si>
  <si>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</si>
  <si>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</si>
  <si>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</si>
  <si>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</si>
  <si>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</si>
  <si>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</si>
  <si>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расходы на содержание учреждения</t>
  </si>
  <si>
    <t>4.2.</t>
  </si>
  <si>
    <t>4.2.1</t>
  </si>
  <si>
    <t>4.2.2</t>
  </si>
  <si>
    <t>Охрана Въезд на  ул. Бирюзова (перекресток с ул. Сипягина)</t>
  </si>
  <si>
    <t>расходы на содержание
 учреждения</t>
  </si>
  <si>
    <t>Содержание
 учреждения</t>
  </si>
  <si>
    <t xml:space="preserve">Руководитель МКУ «Управление
по делам ГО и ЧС г. Новороссийска» </t>
  </si>
  <si>
    <t>И.М. Васильев</t>
  </si>
  <si>
    <t>Внедрение подсистемы "Активный гражданин"</t>
  </si>
  <si>
    <t>1.9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</si>
  <si>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чрезвычайной ситуации</t>
  </si>
  <si>
    <t>Администрация МО г. Новороссийск</t>
  </si>
  <si>
    <t>1.10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</si>
  <si>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</si>
  <si>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4.4.</t>
  </si>
  <si>
    <t>Приобретение и установка автоматического шлагбаума</t>
  </si>
  <si>
    <t>УИЗО, Администрации внутригородских районов</t>
  </si>
  <si>
    <t>4.5.</t>
  </si>
  <si>
    <t xml:space="preserve">Содержание участкового пункта полиции </t>
  </si>
  <si>
    <t>Администрация новороссийского  внутригородского района</t>
  </si>
  <si>
    <t>4.6.</t>
  </si>
  <si>
    <t>3.2.1</t>
  </si>
  <si>
    <t>3.5</t>
  </si>
  <si>
    <t>3.6</t>
  </si>
  <si>
    <t>Администрация МО
г. Новороссийск,
МБУ «АПК Безопасный город-ЕДДС"</t>
  </si>
  <si>
    <t>компенсация предусмотренные для граждан, лишившихся жилого помещения в результате чрезвычайной ситуации</t>
  </si>
  <si>
    <t>компенсация предусмотренные для граждан, пострадавших в результате чрезвычайных ситуаций регионального и межмуниципального характера</t>
  </si>
  <si>
    <t>Мероприятия по обеспечению мобилизационной готовности экономики. В текущем и последующих годах</t>
  </si>
  <si>
    <t>2020 - приобретение програмного комплекса "Активный гражданин"</t>
  </si>
  <si>
    <t>восполнение утративших
 срок годности медицинских препаратов на случай ЧС.
Ежегодно.</t>
  </si>
  <si>
    <t>Обеспечение 
работы радиоканалов.
Ежегодно.</t>
  </si>
  <si>
    <t>приобретение 10
радиостанций.Ежегодно.</t>
  </si>
  <si>
    <t>Создание МТБ
 на случай ЧС.</t>
  </si>
  <si>
    <t>содержание групп мониторинга водных объектов и лесных насаждений. Ежегодно.</t>
  </si>
  <si>
    <t>Обеспечение работы радиоканалов. Ежегодно.</t>
  </si>
  <si>
    <t>Поддержание работоспособности системы КСЭОН.
2020 - Обслуживание системы экстренного оповещения
2021 - Обслуживание системы экстренного оповещения
2022 - Обслуживание системы экстренного оповещения</t>
  </si>
  <si>
    <t>Техническое обслуживание системы контроля за паводковой ситуацией. Ежегодно.</t>
  </si>
  <si>
    <t>развитие транспортной инфроструктуры города.Ежегодно.</t>
  </si>
  <si>
    <t>Техническое обслуживание системы АПК Тайфун. Ежегодно.</t>
  </si>
  <si>
    <t>Модернизация муниципальной системы видеонаблюдения, в т.ч. проектирование, ремонт и прокладка линий ВОЛС, установка и подключение камер видеонаблюдения Модернизация муниципальной системы видеонаблюдения, в т.ч. проектирование, ремонт и прокладка линий ВОЛС, установка и подключение камер видеонаблюдения</t>
  </si>
  <si>
    <t>2021 -приобретение 250 удостоверений для народных дружинников
2022 -приобретение 250 удостоверений для народных дружинников</t>
  </si>
  <si>
    <t xml:space="preserve">2021 - приобретение 50 жилетов для народных дружинников.  
2022 - приобретение 50 жилетов для народных дружинников.  </t>
  </si>
  <si>
    <t>Предоставление гранта казачьим обществам.  Ежегодно</t>
  </si>
  <si>
    <t>Обеспечение безопасности массовых мероприятий. 
2020 - приобретение шлагбаума</t>
  </si>
  <si>
    <t>2020 - Содержание участкового пункта полиции.</t>
  </si>
  <si>
    <t>Содержание поста охраны. Ежегодно.</t>
  </si>
  <si>
    <t>Приобретение 2  стационарных рамочных металлодетекторов. Ежегодно</t>
  </si>
  <si>
    <t>МКУ "СПП"</t>
  </si>
  <si>
    <t>от ____________2020 г. №________</t>
  </si>
  <si>
    <t>1.11</t>
  </si>
  <si>
    <t xml:space="preserve"> Администрация , МБУ ПАСС «Служба спасения»</t>
  </si>
  <si>
    <t>Администрация, МБОУ ДПО «Курсы гражданской обороны города Новороссийска»</t>
  </si>
  <si>
    <t>содержание НКО добровольная пожарная дружина города Новороссийска.Ежегодно</t>
  </si>
  <si>
    <t>Содержание муниципальных учреждений: МБУ "АПК-Безопасный город"</t>
  </si>
  <si>
    <t>1.12</t>
  </si>
  <si>
    <t>Приобретение аппаратно-программного комплекса для организации сеансов удаленной видеосвязи с целью нераспространения новой короновирусной инфекции (COVID-19)</t>
  </si>
  <si>
    <t>Приобретение Администрация МО г. Новороссийск,          МКУ "СПП" оборудования для проведение сеансов удаленной видеосвязи с целью нераспространения новой короновирусной инфекции (COVID-19)</t>
  </si>
  <si>
    <t>Укрепление материально-технической базы и проведение мероприятий в целях предупреждения и ликвидации чрезвычайных, стихийных бедствий и их последствий</t>
  </si>
  <si>
    <t>Наращивание МТБ и проведение мероприятий в целях предупреждения и ликвидации чрезвычайных, стихийных бедствий и их последствий</t>
  </si>
  <si>
    <t>Администрация МО г. Новороссийск, 
МКУ «Управление по делам ГО и ЧС»,
Управление СМИ</t>
  </si>
  <si>
    <t>1.13</t>
  </si>
  <si>
    <t>Мероприятия по предупреждению чрезвычайных ситуаций в период повышенной готовности</t>
  </si>
  <si>
    <t>Администрация МО г. Новороссийск, МКУ "СПП"</t>
  </si>
  <si>
    <t>Меры направленные на нераспространения новой короновирусной инфекции (COVID-19)</t>
  </si>
  <si>
    <t xml:space="preserve"> Администрация МО г. Новороссийск,          МКУ "СПП", МБУ ПАСС «Служба спасения»</t>
  </si>
  <si>
    <t>Техническое обслуживание метеостанций</t>
  </si>
  <si>
    <t>3.2.5</t>
  </si>
  <si>
    <t>3.7</t>
  </si>
  <si>
    <t>4.7.</t>
  </si>
  <si>
    <t>Изготовление средств агитации по противодействию коррупции</t>
  </si>
  <si>
    <t>Информированность в сфере антикоррупционной деятельности</t>
  </si>
  <si>
    <t>Администрация внутригородских районов</t>
  </si>
  <si>
    <t>установка и подключение камер видеонаблюдения
2020 -приобретение 62 камер видеонаблюдения, установка 120 камер видеонаблюдения, приобретение 3 серверов
2021- установка не менее 50 камер видеонаблюдения
2022- установка не менее 50 камер видеонаблюдения</t>
  </si>
  <si>
    <t>Ввод в эксплуатацию помещений участковых пунктов полиции (ул. Новороссийское шоссе, 17., ул. Кутузовская, 115)</t>
  </si>
  <si>
    <t>Администрация новороссийского  внутригородского района, администрация приморского внутригородского района.</t>
  </si>
  <si>
    <t>2020 - ввод  в эксплуатацию 2 помещения УПП</t>
  </si>
  <si>
    <t>2021 - Обслуживание 3 метеостанций</t>
  </si>
  <si>
    <t>2021 -Техническое обслуживание приложения "Мой Новороссийск".</t>
  </si>
  <si>
    <t>3.2.6</t>
  </si>
  <si>
    <t>обновление аппаратно
 програмного комплекса.
Ежегодно.</t>
  </si>
  <si>
    <t>Охрана Административное здание – Бирюзова, 6. 
Монтаж тревожной кнопки и сонащение видеонаблюдением</t>
  </si>
  <si>
    <t>Содержание поста охраны. Ежегодно.
2020- приобретение 19 видеокамер, 1 компьютер в сборе.</t>
  </si>
  <si>
    <t xml:space="preserve">Администрация 
г. Новороссийск
МКУ "СПП"
</t>
  </si>
  <si>
    <t>Изготовление баннеров по профилактике терроризма и по противодействию экстремизму</t>
  </si>
  <si>
    <t>Размещение в печатных изданиях материалов по профилактике терроризму и по противодействию экстремизму</t>
  </si>
  <si>
    <t>Изготовление памяток:
а) «По профилактике терроризма среди населения», 
б) «По противодействию экстремизму»</t>
  </si>
  <si>
    <t>Управление по взаимодействию с правоохранительными органами, 
управление 
внутренней политики
Администрации 
г. Новороссийск</t>
  </si>
  <si>
    <t>Приобретение по 5 информационно-пропагандистских баннеров по профилактике терроризму, 
по противодействию экстремизму. 
Ежегодно</t>
  </si>
  <si>
    <t>Изготовление по 10 информационных статей. 
А) "Информационно-пропагандистское противодействие терроризму". 
Б) "Основные направления и меры противодействия экстремизму".
Ежегодно.</t>
  </si>
  <si>
    <t>Модернизация муниципальной системы видеонаблюдения, в т.ч. проектирование, ремонт и прокладка линий ВОЛС, установка и подключение камер видеонаблюдения, приобретение комплекктующих для оборудования системы видеонаблюдения</t>
  </si>
  <si>
    <t>1.14</t>
  </si>
  <si>
    <t>Участие в предупреждении чрезвычайных ситуаций (иные межбюджетные трансферты (краевой бюджет)</t>
  </si>
  <si>
    <t>местный бюджет</t>
  </si>
  <si>
    <t>краевой бюджет</t>
  </si>
  <si>
    <t>Администрация МО
МКУ «Управление по делам ГО и ЧС»
Администрация НВР</t>
  </si>
  <si>
    <t>1.14.1</t>
  </si>
  <si>
    <t>1.14.2</t>
  </si>
  <si>
    <t>1.14.3</t>
  </si>
  <si>
    <t>Проведение экстренных мероприятий по расчистке русла реки Чухабль протяженностью 5,7 км на участке от с/т "Двуречье" (участок № 113) до мостового сооружения через реку Чухабль в районе гостиницы "Лесная гавань" села Широкая Балка  от поваленных деревьев и других древесных остатков в целях предупреждения чрезвычайной ситуации на территории села Широкая Балка муниципального образования город Новороссийск</t>
  </si>
  <si>
    <t>Проведение экстренных мероприятий по расчистке русла реки Дюрсо протяженностью 6 км на участке от Шкрюмова хутора (участок 198) до мостового сооружения через реку Дюрсо в районе дома № 31 "Б" по улице Свободы хутора Дюрсо от поваленных деревьев и других древесных остатков в целях предупреждения чрезвычайной ситуации на территории хутора Дюрсо муниципального образования город Новороссийск</t>
  </si>
  <si>
    <t>Проведение экстренных мероприятий по расчистке русла реки Озерейка протяженностью 2 км на участке от села Северная Озереевка (участок 100) до дома № 34 "А" по улице Свободы села Южная Озереевка от поваленных деревьев и других древесных остатков в целях предупреждения чрезвычайной ситуации на территории села Южная Озереевка муниципального образования город Новороссийск</t>
  </si>
  <si>
    <t>1.15</t>
  </si>
  <si>
    <t>3.8</t>
  </si>
  <si>
    <t>Мероприятия по обеспечению функционирования , оснащению ЦУР</t>
  </si>
  <si>
    <t>3.9</t>
  </si>
  <si>
    <t>Совершенствование и поддержание работоспособности системы "112"</t>
  </si>
  <si>
    <t>приобретение двух серено-речевых установок. 
2020 - приобретение 1 СУ-Р 
2021 - приобретение 0 СУ-Р 
2022 - приобретение 2 СУ-Р</t>
  </si>
  <si>
    <t>Формирование аппаратно- програмного комплекса ЦУР</t>
  </si>
  <si>
    <t>Предупреждение и информирование населения 
2020- приобретение 10600 памяток
2021- приобретение 0 памяток
2022- приобретение 30000 памяток</t>
  </si>
  <si>
    <t>Изготовление проекта 1 обеспечение безопасности на объекте в 2022 году.</t>
  </si>
  <si>
    <t>приобретение модульных строений
2020 - 0 шт.
2021 - 0 шт.
2022 - 3 шт.</t>
  </si>
  <si>
    <t>Изготовление памяток
2020- 7500 шт.
2021- 0 шт.
2022- 7500 шт.</t>
  </si>
  <si>
    <t>Проведение социологических исследований
2020- 0 шт.
2021- 0 шт.
2022- 1 шт.</t>
  </si>
  <si>
    <t>приобретение
 постельного белья 
2020 - 0 шт.
2021 - 105 шт
2022 - 0 шт.</t>
  </si>
  <si>
    <t>Предупреждение и информирование населения
2020 - приобретение 1 банера
2021 - приобретение 0 банеров
2022 - приобретение 1 банеров</t>
  </si>
  <si>
    <t>Подпрограмма «Профилактика терроризма и экстремизма среди населения»</t>
  </si>
  <si>
    <t xml:space="preserve"> </t>
  </si>
  <si>
    <t>Проведение текущего ремонта помещений защитного сооружениея</t>
  </si>
  <si>
    <t>Создание центра управления 
2021 - проведение текущего ремонта в защитном сооружении
2022 - 0</t>
  </si>
  <si>
    <t>2021 - приобретение одной палатки армейской и прицепа для ее перевозки
2022- 0</t>
  </si>
  <si>
    <t>2020 - приобретение памяток 10000 шт.  (МКУ «Управление по делам ГО и ЧС»), приобретение памяток 20000 шт. (Управление СМИ)
2021 - приобретение памяток 10000 шт.  (МКУ «Управление по делам ГО и ЧС»)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</si>
</sst>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\ _₽_-;\-* #,##0.0\ _₽_-;_-* &quot;-&quot;??\ _₽_-;_-@_-"/>
    <numFmt numFmtId="167" formatCode="#,##0.000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92">
    <xf numFmtId="0" fontId="0" fillId="0" borderId="0" xfId="0"/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/>
    <xf numFmtId="43" fontId="2" fillId="0" borderId="0" xfId="0" applyNumberFormat="1" applyFont="1"/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Alignment="1">
      <alignment vertical="center"/>
    </xf>
    <xf numFmtId="4" fontId="2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Fill="1"/>
    <xf numFmtId="4" fontId="2" fillId="2" borderId="0" xfId="0" applyNumberFormat="1" applyFont="1" applyFill="1"/>
    <xf numFmtId="4" fontId="2" fillId="0" borderId="0" xfId="0" applyNumberFormat="1" applyFont="1"/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/>
    <xf numFmtId="165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2" borderId="0" xfId="0" applyFont="1" applyFill="1" applyAlignment="1">
      <alignment vertical="center"/>
    </xf>
    <xf numFmtId="166" fontId="2" fillId="0" borderId="0" xfId="0" applyNumberFormat="1" applyFont="1"/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center"/>
    </xf>
    <xf numFmtId="164" fontId="4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49" fontId="4" fillId="0" borderId="2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167" fontId="4" fillId="0" borderId="1" xfId="1" applyNumberFormat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8" fontId="2" fillId="0" borderId="0" xfId="0" applyNumberFormat="1" applyFont="1"/>
    <xf numFmtId="0" fontId="6" fillId="0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9"/>
  <sheetViews>
    <sheetView tabSelected="1" zoomScale="85" zoomScaleNormal="85" workbookViewId="0">
      <selection activeCell="F16" sqref="F16"/>
    </sheetView>
  </sheetViews>
  <sheetFormatPr defaultColWidth="9.140625" defaultRowHeight="15.75" x14ac:dyDescent="0.25"/>
  <cols>
    <col min="1" max="1" width="9.5703125" style="6" customWidth="1"/>
    <col min="2" max="2" width="35.85546875" style="9" customWidth="1"/>
    <col min="3" max="3" width="18.28515625" style="6" customWidth="1"/>
    <col min="4" max="4" width="11.7109375" style="19" customWidth="1"/>
    <col min="5" max="5" width="10.5703125" style="19" customWidth="1"/>
    <col min="6" max="6" width="16.140625" style="6" customWidth="1"/>
    <col min="7" max="7" width="16" style="6" customWidth="1"/>
    <col min="8" max="8" width="20.28515625" style="6" customWidth="1"/>
    <col min="9" max="9" width="20.140625" style="22" customWidth="1"/>
    <col min="10" max="10" width="9.140625" style="6"/>
    <col min="11" max="11" width="12.42578125" style="6" bestFit="1" customWidth="1"/>
    <col min="12" max="12" width="14.42578125" style="6" bestFit="1" customWidth="1"/>
    <col min="13" max="13" width="24.85546875" style="6" customWidth="1"/>
    <col min="14" max="14" width="13.140625" style="6" bestFit="1" customWidth="1"/>
    <col min="15" max="15" width="10.7109375" style="6" bestFit="1" customWidth="1"/>
    <col min="16" max="16" width="13.140625" style="6" bestFit="1" customWidth="1"/>
    <col min="17" max="16384" width="9.140625" style="6"/>
  </cols>
  <sheetData>
    <row r="1" spans="1:12" s="3" customFormat="1" ht="18.75" x14ac:dyDescent="0.25">
      <c r="A1" s="12"/>
      <c r="B1" s="13"/>
      <c r="C1" s="13"/>
      <c r="D1" s="16"/>
      <c r="E1" s="16"/>
      <c r="F1" s="13"/>
      <c r="G1" s="13"/>
      <c r="H1" s="59" t="s">
        <v>12</v>
      </c>
      <c r="I1" s="60"/>
    </row>
    <row r="2" spans="1:12" s="3" customFormat="1" ht="18.75" x14ac:dyDescent="0.25">
      <c r="A2" s="12"/>
      <c r="B2" s="13"/>
      <c r="C2" s="13"/>
      <c r="D2" s="16"/>
      <c r="E2" s="16"/>
      <c r="F2" s="13"/>
      <c r="G2" s="13"/>
      <c r="H2" s="59" t="s">
        <v>0</v>
      </c>
      <c r="I2" s="60"/>
    </row>
    <row r="3" spans="1:12" s="3" customFormat="1" ht="18.75" x14ac:dyDescent="0.25">
      <c r="A3" s="12"/>
      <c r="B3" s="13"/>
      <c r="C3" s="13"/>
      <c r="D3" s="16"/>
      <c r="E3" s="16"/>
      <c r="F3" s="13"/>
      <c r="G3" s="13"/>
      <c r="H3" s="59" t="s">
        <v>1</v>
      </c>
      <c r="I3" s="60"/>
    </row>
    <row r="4" spans="1:12" s="3" customFormat="1" ht="18.75" x14ac:dyDescent="0.25">
      <c r="A4" s="12"/>
      <c r="B4" s="13"/>
      <c r="C4" s="13"/>
      <c r="D4" s="16"/>
      <c r="E4" s="16"/>
      <c r="F4" s="13"/>
      <c r="G4" s="13"/>
      <c r="H4" s="59" t="s">
        <v>2</v>
      </c>
      <c r="I4" s="61"/>
    </row>
    <row r="5" spans="1:12" s="3" customFormat="1" ht="18.75" x14ac:dyDescent="0.25">
      <c r="A5" s="12"/>
      <c r="B5" s="13"/>
      <c r="C5" s="13"/>
      <c r="D5" s="16"/>
      <c r="E5" s="16"/>
      <c r="F5" s="13"/>
      <c r="G5" s="13"/>
      <c r="H5" s="59" t="s">
        <v>3</v>
      </c>
      <c r="I5" s="61"/>
    </row>
    <row r="6" spans="1:12" s="3" customFormat="1" ht="18.75" x14ac:dyDescent="0.25">
      <c r="A6" s="12"/>
      <c r="B6" s="13"/>
      <c r="C6" s="13"/>
      <c r="D6" s="16"/>
      <c r="E6" s="16"/>
      <c r="F6" s="13"/>
      <c r="G6" s="13"/>
      <c r="H6" s="59" t="s">
        <v>162</v>
      </c>
      <c r="I6" s="61"/>
    </row>
    <row r="7" spans="1:12" s="3" customFormat="1" x14ac:dyDescent="0.25">
      <c r="A7" s="12"/>
      <c r="B7" s="13"/>
      <c r="C7" s="13"/>
      <c r="D7" s="16"/>
      <c r="E7" s="16"/>
      <c r="F7" s="13"/>
      <c r="G7" s="13"/>
      <c r="H7" s="13"/>
      <c r="I7" s="20"/>
    </row>
    <row r="8" spans="1:12" s="3" customFormat="1" x14ac:dyDescent="0.25">
      <c r="A8" s="1"/>
      <c r="B8" s="8"/>
      <c r="C8" s="4"/>
      <c r="D8" s="17"/>
      <c r="E8" s="17"/>
      <c r="F8" s="4"/>
      <c r="G8" s="4"/>
      <c r="H8" s="5"/>
      <c r="I8" s="20"/>
    </row>
    <row r="9" spans="1:12" s="14" customFormat="1" ht="18.75" x14ac:dyDescent="0.3">
      <c r="A9" s="70" t="s">
        <v>4</v>
      </c>
      <c r="B9" s="70"/>
      <c r="C9" s="70"/>
      <c r="D9" s="70"/>
      <c r="E9" s="70"/>
      <c r="F9" s="70"/>
      <c r="G9" s="70"/>
      <c r="H9" s="70"/>
      <c r="I9" s="70"/>
    </row>
    <row r="10" spans="1:12" s="14" customFormat="1" ht="39.6" customHeight="1" x14ac:dyDescent="0.3">
      <c r="A10" s="71" t="s">
        <v>13</v>
      </c>
      <c r="B10" s="71"/>
      <c r="C10" s="71"/>
      <c r="D10" s="71"/>
      <c r="E10" s="71"/>
      <c r="F10" s="71"/>
      <c r="G10" s="71"/>
      <c r="H10" s="71"/>
      <c r="I10" s="71"/>
    </row>
    <row r="11" spans="1:12" s="3" customFormat="1" x14ac:dyDescent="0.25">
      <c r="A11" s="2"/>
      <c r="B11" s="8"/>
      <c r="C11" s="4"/>
      <c r="D11" s="17"/>
      <c r="E11" s="17"/>
      <c r="F11" s="4"/>
      <c r="G11" s="4"/>
      <c r="H11" s="53"/>
      <c r="I11" s="20"/>
    </row>
    <row r="12" spans="1:12" s="3" customFormat="1" ht="21" customHeight="1" x14ac:dyDescent="0.25">
      <c r="A12" s="89" t="s">
        <v>5</v>
      </c>
      <c r="B12" s="86" t="s">
        <v>6</v>
      </c>
      <c r="C12" s="83" t="s">
        <v>7</v>
      </c>
      <c r="D12" s="72" t="s">
        <v>8</v>
      </c>
      <c r="E12" s="73"/>
      <c r="F12" s="73"/>
      <c r="G12" s="73"/>
      <c r="H12" s="80" t="s">
        <v>9</v>
      </c>
      <c r="I12" s="80" t="s">
        <v>10</v>
      </c>
    </row>
    <row r="13" spans="1:12" s="3" customFormat="1" ht="21" customHeight="1" x14ac:dyDescent="0.25">
      <c r="A13" s="90"/>
      <c r="B13" s="87"/>
      <c r="C13" s="84"/>
      <c r="D13" s="74" t="s">
        <v>11</v>
      </c>
      <c r="E13" s="75"/>
      <c r="F13" s="75"/>
      <c r="G13" s="75"/>
      <c r="H13" s="81"/>
      <c r="I13" s="81"/>
    </row>
    <row r="14" spans="1:12" s="3" customFormat="1" ht="49.9" customHeight="1" x14ac:dyDescent="0.25">
      <c r="A14" s="90"/>
      <c r="B14" s="87"/>
      <c r="C14" s="84"/>
      <c r="D14" s="76">
        <v>2020</v>
      </c>
      <c r="E14" s="77"/>
      <c r="F14" s="78">
        <v>2021</v>
      </c>
      <c r="G14" s="78">
        <v>2022</v>
      </c>
      <c r="H14" s="81"/>
      <c r="I14" s="81"/>
    </row>
    <row r="15" spans="1:12" s="3" customFormat="1" ht="49.9" customHeight="1" x14ac:dyDescent="0.25">
      <c r="A15" s="91"/>
      <c r="B15" s="88"/>
      <c r="C15" s="85"/>
      <c r="D15" s="29" t="s">
        <v>206</v>
      </c>
      <c r="E15" s="29" t="s">
        <v>207</v>
      </c>
      <c r="F15" s="79"/>
      <c r="G15" s="79"/>
      <c r="H15" s="82"/>
      <c r="I15" s="82"/>
      <c r="L15" s="4">
        <f>D16+E16+F16+G16</f>
        <v>727618.674</v>
      </c>
    </row>
    <row r="16" spans="1:12" s="15" customFormat="1" ht="31.5" customHeight="1" x14ac:dyDescent="0.25">
      <c r="A16" s="68" t="s">
        <v>14</v>
      </c>
      <c r="B16" s="69"/>
      <c r="C16" s="30">
        <f>D16+F16+G16+E16</f>
        <v>727618.674</v>
      </c>
      <c r="D16" s="31">
        <f>D96+D81+D66+D49+D44-E16</f>
        <v>213432.57400000002</v>
      </c>
      <c r="E16" s="31">
        <f>E44+E66</f>
        <v>18178.7</v>
      </c>
      <c r="F16" s="31">
        <f>F96+F81+F66+F49+F44</f>
        <v>239982</v>
      </c>
      <c r="G16" s="31">
        <f>G96+G81+G66+G49+G44</f>
        <v>256025.4</v>
      </c>
      <c r="H16" s="32"/>
      <c r="I16" s="33"/>
      <c r="L16" s="25" t="s">
        <v>230</v>
      </c>
    </row>
    <row r="17" spans="1:15" ht="51" customHeight="1" x14ac:dyDescent="0.25">
      <c r="A17" s="34">
        <v>1</v>
      </c>
      <c r="B17" s="62" t="s">
        <v>40</v>
      </c>
      <c r="C17" s="63"/>
      <c r="D17" s="63"/>
      <c r="E17" s="63"/>
      <c r="F17" s="63"/>
      <c r="G17" s="63"/>
      <c r="H17" s="63"/>
      <c r="I17" s="64"/>
      <c r="K17" s="28">
        <f>265134.5-G16</f>
        <v>9109.1000000000058</v>
      </c>
      <c r="L17" s="24">
        <f>D16+E16</f>
        <v>231611.27400000003</v>
      </c>
    </row>
    <row r="18" spans="1:15" ht="63" x14ac:dyDescent="0.25">
      <c r="A18" s="35" t="s">
        <v>15</v>
      </c>
      <c r="B18" s="36" t="s">
        <v>17</v>
      </c>
      <c r="C18" s="30">
        <f>D18+F18+G18</f>
        <v>287.60000000000002</v>
      </c>
      <c r="D18" s="30">
        <f>D19+D20</f>
        <v>187.6</v>
      </c>
      <c r="E18" s="30">
        <v>0</v>
      </c>
      <c r="F18" s="30">
        <f t="shared" ref="F18:G18" si="0">F19+F20</f>
        <v>100</v>
      </c>
      <c r="G18" s="30">
        <f t="shared" si="0"/>
        <v>0</v>
      </c>
      <c r="H18" s="37"/>
      <c r="I18" s="38"/>
      <c r="K18" s="24"/>
      <c r="L18" s="6">
        <v>244987</v>
      </c>
      <c r="M18" s="24"/>
    </row>
    <row r="19" spans="1:15" ht="140.25" x14ac:dyDescent="0.25">
      <c r="A19" s="35" t="s">
        <v>88</v>
      </c>
      <c r="B19" s="36" t="s">
        <v>18</v>
      </c>
      <c r="C19" s="30">
        <f t="shared" ref="C19:C52" si="1">D19+F19+G19</f>
        <v>287.60000000000002</v>
      </c>
      <c r="D19" s="30">
        <f>100+87.6</f>
        <v>187.6</v>
      </c>
      <c r="E19" s="30">
        <v>0</v>
      </c>
      <c r="F19" s="30">
        <v>100</v>
      </c>
      <c r="G19" s="30">
        <v>0</v>
      </c>
      <c r="H19" s="39" t="s">
        <v>234</v>
      </c>
      <c r="I19" s="38" t="s">
        <v>173</v>
      </c>
      <c r="L19" s="6">
        <v>224900.3</v>
      </c>
      <c r="M19" s="24">
        <f>G16-263321</f>
        <v>-7295.6000000000058</v>
      </c>
      <c r="N19" s="6">
        <v>14639</v>
      </c>
    </row>
    <row r="20" spans="1:15" ht="89.25" x14ac:dyDescent="0.25">
      <c r="A20" s="35" t="s">
        <v>89</v>
      </c>
      <c r="B20" s="36" t="s">
        <v>19</v>
      </c>
      <c r="C20" s="30">
        <f t="shared" si="1"/>
        <v>0</v>
      </c>
      <c r="D20" s="30">
        <f>520-167-353</f>
        <v>0</v>
      </c>
      <c r="E20" s="30">
        <v>0</v>
      </c>
      <c r="F20" s="30">
        <v>0</v>
      </c>
      <c r="G20" s="57">
        <v>0</v>
      </c>
      <c r="H20" s="39" t="s">
        <v>143</v>
      </c>
      <c r="I20" s="38" t="s">
        <v>83</v>
      </c>
      <c r="L20" s="24">
        <f>SUM(L17:L19)</f>
        <v>701498.57400000002</v>
      </c>
      <c r="M20" s="24">
        <f>M19-14591</f>
        <v>-21886.600000000006</v>
      </c>
      <c r="N20" s="6">
        <f>N19-14591</f>
        <v>48</v>
      </c>
    </row>
    <row r="21" spans="1:15" ht="36" x14ac:dyDescent="0.25">
      <c r="A21" s="35" t="s">
        <v>20</v>
      </c>
      <c r="B21" s="36" t="s">
        <v>21</v>
      </c>
      <c r="C21" s="30">
        <f t="shared" si="1"/>
        <v>1054.2</v>
      </c>
      <c r="D21" s="30">
        <v>54.2</v>
      </c>
      <c r="E21" s="30">
        <v>0</v>
      </c>
      <c r="F21" s="30">
        <v>1000</v>
      </c>
      <c r="G21" s="57">
        <v>0</v>
      </c>
      <c r="H21" s="39" t="s">
        <v>87</v>
      </c>
      <c r="I21" s="38" t="s">
        <v>83</v>
      </c>
    </row>
    <row r="22" spans="1:15" ht="76.5" x14ac:dyDescent="0.25">
      <c r="A22" s="35" t="s">
        <v>22</v>
      </c>
      <c r="B22" s="36" t="s">
        <v>23</v>
      </c>
      <c r="C22" s="30">
        <f t="shared" si="1"/>
        <v>394</v>
      </c>
      <c r="D22" s="30">
        <f>197-197</f>
        <v>0</v>
      </c>
      <c r="E22" s="30">
        <v>0</v>
      </c>
      <c r="F22" s="30">
        <v>197</v>
      </c>
      <c r="G22" s="57">
        <v>197</v>
      </c>
      <c r="H22" s="39" t="s">
        <v>141</v>
      </c>
      <c r="I22" s="38" t="s">
        <v>83</v>
      </c>
      <c r="M22" s="6">
        <v>690</v>
      </c>
    </row>
    <row r="23" spans="1:15" ht="72" customHeight="1" x14ac:dyDescent="0.25">
      <c r="A23" s="35" t="s">
        <v>24</v>
      </c>
      <c r="B23" s="36" t="s">
        <v>25</v>
      </c>
      <c r="C23" s="30">
        <f t="shared" si="1"/>
        <v>690</v>
      </c>
      <c r="D23" s="30">
        <v>0</v>
      </c>
      <c r="E23" s="30">
        <v>0</v>
      </c>
      <c r="F23" s="30">
        <f t="shared" ref="F23:G23" si="2">F24+F25+F26+F27</f>
        <v>690</v>
      </c>
      <c r="G23" s="30">
        <f t="shared" si="2"/>
        <v>0</v>
      </c>
      <c r="H23" s="39"/>
      <c r="I23" s="38"/>
      <c r="M23" s="6">
        <v>100</v>
      </c>
    </row>
    <row r="24" spans="1:15" ht="38.25" hidden="1" x14ac:dyDescent="0.25">
      <c r="A24" s="35" t="s">
        <v>90</v>
      </c>
      <c r="B24" s="36" t="s">
        <v>26</v>
      </c>
      <c r="C24" s="30">
        <f t="shared" si="1"/>
        <v>0</v>
      </c>
      <c r="D24" s="30">
        <v>0</v>
      </c>
      <c r="E24" s="30"/>
      <c r="F24" s="30">
        <v>0</v>
      </c>
      <c r="G24" s="30">
        <v>0</v>
      </c>
      <c r="H24" s="39" t="s">
        <v>144</v>
      </c>
      <c r="I24" s="38" t="s">
        <v>83</v>
      </c>
      <c r="L24" s="24"/>
    </row>
    <row r="25" spans="1:15" ht="38.25" x14ac:dyDescent="0.25">
      <c r="A25" s="35" t="s">
        <v>90</v>
      </c>
      <c r="B25" s="36" t="s">
        <v>27</v>
      </c>
      <c r="C25" s="30">
        <f t="shared" si="1"/>
        <v>0</v>
      </c>
      <c r="D25" s="30">
        <f>51.7-51.7</f>
        <v>0</v>
      </c>
      <c r="E25" s="30">
        <v>0</v>
      </c>
      <c r="F25" s="30">
        <v>0</v>
      </c>
      <c r="G25" s="30">
        <v>0</v>
      </c>
      <c r="H25" s="39" t="s">
        <v>145</v>
      </c>
      <c r="I25" s="38" t="s">
        <v>83</v>
      </c>
      <c r="M25" s="6">
        <f>O25-M22-M23</f>
        <v>1500</v>
      </c>
      <c r="O25" s="6">
        <v>2290</v>
      </c>
    </row>
    <row r="26" spans="1:15" ht="63.75" x14ac:dyDescent="0.25">
      <c r="A26" s="35" t="s">
        <v>91</v>
      </c>
      <c r="B26" s="36" t="s">
        <v>28</v>
      </c>
      <c r="C26" s="30">
        <f t="shared" si="1"/>
        <v>690</v>
      </c>
      <c r="D26" s="30">
        <v>0</v>
      </c>
      <c r="E26" s="30">
        <v>0</v>
      </c>
      <c r="F26" s="30">
        <v>690</v>
      </c>
      <c r="G26" s="30">
        <v>0</v>
      </c>
      <c r="H26" s="39" t="s">
        <v>233</v>
      </c>
      <c r="I26" s="38" t="s">
        <v>83</v>
      </c>
      <c r="M26" s="6">
        <v>1122.5999999999999</v>
      </c>
    </row>
    <row r="27" spans="1:15" ht="80.25" customHeight="1" x14ac:dyDescent="0.25">
      <c r="A27" s="35" t="s">
        <v>92</v>
      </c>
      <c r="B27" s="36" t="s">
        <v>29</v>
      </c>
      <c r="C27" s="30">
        <f t="shared" si="1"/>
        <v>0</v>
      </c>
      <c r="D27" s="30">
        <f>150-141.2-8.8</f>
        <v>0</v>
      </c>
      <c r="E27" s="30">
        <v>0</v>
      </c>
      <c r="F27" s="30">
        <v>0</v>
      </c>
      <c r="G27" s="30">
        <v>0</v>
      </c>
      <c r="H27" s="39" t="s">
        <v>146</v>
      </c>
      <c r="I27" s="38" t="s">
        <v>83</v>
      </c>
      <c r="M27" s="6">
        <f>M25-M26</f>
        <v>377.40000000000009</v>
      </c>
    </row>
    <row r="28" spans="1:15" ht="47.25" x14ac:dyDescent="0.25">
      <c r="A28" s="35" t="s">
        <v>30</v>
      </c>
      <c r="B28" s="36" t="s">
        <v>31</v>
      </c>
      <c r="C28" s="30">
        <f t="shared" si="1"/>
        <v>300</v>
      </c>
      <c r="D28" s="30">
        <f>D29+D30</f>
        <v>0</v>
      </c>
      <c r="E28" s="30">
        <v>0</v>
      </c>
      <c r="F28" s="30">
        <f t="shared" ref="F28:G28" si="3">F29+F30</f>
        <v>300</v>
      </c>
      <c r="G28" s="30">
        <f t="shared" si="3"/>
        <v>0</v>
      </c>
      <c r="H28" s="39"/>
      <c r="I28" s="38"/>
      <c r="M28" s="6">
        <f>M27+M22</f>
        <v>1067.4000000000001</v>
      </c>
    </row>
    <row r="29" spans="1:15" ht="60.75" customHeight="1" x14ac:dyDescent="0.25">
      <c r="A29" s="35" t="s">
        <v>93</v>
      </c>
      <c r="B29" s="36" t="s">
        <v>32</v>
      </c>
      <c r="C29" s="30">
        <f t="shared" si="1"/>
        <v>300</v>
      </c>
      <c r="D29" s="30">
        <f>267-267</f>
        <v>0</v>
      </c>
      <c r="E29" s="30">
        <v>0</v>
      </c>
      <c r="F29" s="30">
        <v>300</v>
      </c>
      <c r="G29" s="30">
        <v>0</v>
      </c>
      <c r="H29" s="39" t="s">
        <v>227</v>
      </c>
      <c r="I29" s="38" t="s">
        <v>83</v>
      </c>
      <c r="L29" s="7"/>
    </row>
    <row r="30" spans="1:15" ht="77.25" customHeight="1" x14ac:dyDescent="0.25">
      <c r="A30" s="35" t="s">
        <v>94</v>
      </c>
      <c r="B30" s="36" t="s">
        <v>33</v>
      </c>
      <c r="C30" s="30">
        <f t="shared" si="1"/>
        <v>0</v>
      </c>
      <c r="D30" s="30">
        <f>330-330</f>
        <v>0</v>
      </c>
      <c r="E30" s="30">
        <v>0</v>
      </c>
      <c r="F30" s="30">
        <v>0</v>
      </c>
      <c r="G30" s="30">
        <v>0</v>
      </c>
      <c r="H30" s="39" t="s">
        <v>193</v>
      </c>
      <c r="I30" s="38" t="s">
        <v>83</v>
      </c>
      <c r="K30" s="7"/>
    </row>
    <row r="31" spans="1:15" ht="47.25" x14ac:dyDescent="0.25">
      <c r="A31" s="35" t="s">
        <v>34</v>
      </c>
      <c r="B31" s="36" t="s">
        <v>16</v>
      </c>
      <c r="C31" s="30">
        <f t="shared" si="1"/>
        <v>62668.4</v>
      </c>
      <c r="D31" s="30">
        <v>18912</v>
      </c>
      <c r="E31" s="30">
        <v>0</v>
      </c>
      <c r="F31" s="30">
        <f>19074+377.4</f>
        <v>19451.400000000001</v>
      </c>
      <c r="G31" s="30">
        <f>20264+1300+2741</f>
        <v>24305</v>
      </c>
      <c r="H31" s="39" t="s">
        <v>118</v>
      </c>
      <c r="I31" s="38" t="s">
        <v>83</v>
      </c>
      <c r="L31" s="19"/>
    </row>
    <row r="32" spans="1:15" ht="47.25" x14ac:dyDescent="0.25">
      <c r="A32" s="35" t="s">
        <v>35</v>
      </c>
      <c r="B32" s="36" t="s">
        <v>36</v>
      </c>
      <c r="C32" s="30">
        <f t="shared" si="1"/>
        <v>90488.5</v>
      </c>
      <c r="D32" s="30">
        <v>28390.1</v>
      </c>
      <c r="E32" s="30">
        <v>0</v>
      </c>
      <c r="F32" s="30">
        <v>28002</v>
      </c>
      <c r="G32" s="30">
        <f>29542+2741-0.1+1813.5</f>
        <v>34096.400000000001</v>
      </c>
      <c r="H32" s="39" t="s">
        <v>118</v>
      </c>
      <c r="I32" s="38" t="s">
        <v>164</v>
      </c>
    </row>
    <row r="33" spans="1:16" ht="102" x14ac:dyDescent="0.25">
      <c r="A33" s="35" t="s">
        <v>37</v>
      </c>
      <c r="B33" s="36" t="s">
        <v>171</v>
      </c>
      <c r="C33" s="30">
        <f t="shared" si="1"/>
        <v>6749.9</v>
      </c>
      <c r="D33" s="30">
        <v>6749.9</v>
      </c>
      <c r="E33" s="30">
        <v>0</v>
      </c>
      <c r="F33" s="30">
        <v>0</v>
      </c>
      <c r="G33" s="30">
        <v>0</v>
      </c>
      <c r="H33" s="39" t="s">
        <v>172</v>
      </c>
      <c r="I33" s="38" t="s">
        <v>178</v>
      </c>
    </row>
    <row r="34" spans="1:16" ht="63" x14ac:dyDescent="0.25">
      <c r="A34" s="35" t="s">
        <v>123</v>
      </c>
      <c r="B34" s="36" t="s">
        <v>38</v>
      </c>
      <c r="C34" s="30">
        <f t="shared" si="1"/>
        <v>5355.9</v>
      </c>
      <c r="D34" s="30">
        <v>1810.9</v>
      </c>
      <c r="E34" s="30">
        <v>0</v>
      </c>
      <c r="F34" s="30">
        <v>1727</v>
      </c>
      <c r="G34" s="30">
        <v>1818</v>
      </c>
      <c r="H34" s="39" t="s">
        <v>118</v>
      </c>
      <c r="I34" s="38" t="s">
        <v>165</v>
      </c>
      <c r="L34" s="24"/>
    </row>
    <row r="35" spans="1:16" ht="110.25" x14ac:dyDescent="0.25">
      <c r="A35" s="35" t="s">
        <v>126</v>
      </c>
      <c r="B35" s="36" t="s">
        <v>124</v>
      </c>
      <c r="C35" s="40">
        <f>E35+F35+G35</f>
        <v>198</v>
      </c>
      <c r="D35" s="30">
        <v>0</v>
      </c>
      <c r="E35" s="30">
        <v>66</v>
      </c>
      <c r="F35" s="30">
        <v>66</v>
      </c>
      <c r="G35" s="30">
        <v>66</v>
      </c>
      <c r="H35" s="39" t="s">
        <v>139</v>
      </c>
      <c r="I35" s="38" t="s">
        <v>125</v>
      </c>
    </row>
    <row r="36" spans="1:16" ht="229.5" customHeight="1" x14ac:dyDescent="0.25">
      <c r="A36" s="35" t="s">
        <v>163</v>
      </c>
      <c r="B36" s="36" t="s">
        <v>127</v>
      </c>
      <c r="C36" s="40">
        <f>E36+F36+G36</f>
        <v>198</v>
      </c>
      <c r="D36" s="30">
        <v>0</v>
      </c>
      <c r="E36" s="30">
        <v>66</v>
      </c>
      <c r="F36" s="30">
        <v>66</v>
      </c>
      <c r="G36" s="30">
        <v>66</v>
      </c>
      <c r="H36" s="39" t="s">
        <v>140</v>
      </c>
      <c r="I36" s="38" t="s">
        <v>125</v>
      </c>
      <c r="M36" s="7"/>
    </row>
    <row r="37" spans="1:16" ht="152.25" customHeight="1" x14ac:dyDescent="0.25">
      <c r="A37" s="35" t="s">
        <v>168</v>
      </c>
      <c r="B37" s="41" t="s">
        <v>169</v>
      </c>
      <c r="C37" s="40">
        <f t="shared" si="1"/>
        <v>2387.1999999999998</v>
      </c>
      <c r="D37" s="30">
        <v>2387.1999999999998</v>
      </c>
      <c r="E37" s="30">
        <v>0</v>
      </c>
      <c r="F37" s="30">
        <v>0</v>
      </c>
      <c r="G37" s="30">
        <v>0</v>
      </c>
      <c r="H37" s="42" t="s">
        <v>170</v>
      </c>
      <c r="I37" s="38" t="s">
        <v>176</v>
      </c>
      <c r="K37" s="19"/>
      <c r="M37" s="7"/>
    </row>
    <row r="38" spans="1:16" ht="102.75" customHeight="1" x14ac:dyDescent="0.25">
      <c r="A38" s="35" t="s">
        <v>174</v>
      </c>
      <c r="B38" s="36" t="s">
        <v>175</v>
      </c>
      <c r="C38" s="30">
        <f t="shared" si="1"/>
        <v>1702.3</v>
      </c>
      <c r="D38" s="30">
        <v>1702.3</v>
      </c>
      <c r="E38" s="30">
        <v>0</v>
      </c>
      <c r="F38" s="30">
        <v>0</v>
      </c>
      <c r="G38" s="30">
        <v>0</v>
      </c>
      <c r="H38" s="39" t="s">
        <v>177</v>
      </c>
      <c r="I38" s="38" t="s">
        <v>125</v>
      </c>
      <c r="M38" s="7"/>
    </row>
    <row r="39" spans="1:16" ht="127.5" customHeight="1" x14ac:dyDescent="0.25">
      <c r="A39" s="35" t="s">
        <v>204</v>
      </c>
      <c r="B39" s="36" t="s">
        <v>205</v>
      </c>
      <c r="C39" s="54">
        <f>D39+E39</f>
        <v>1570.1440000000002</v>
      </c>
      <c r="D39" s="54">
        <f>D40+D41+D42</f>
        <v>15.844000000000001</v>
      </c>
      <c r="E39" s="54">
        <f>E40+E41+E42</f>
        <v>1554.3000000000002</v>
      </c>
      <c r="F39" s="30">
        <v>0</v>
      </c>
      <c r="G39" s="30">
        <v>0</v>
      </c>
      <c r="H39" s="39"/>
      <c r="I39" s="39"/>
      <c r="M39" s="7"/>
    </row>
    <row r="40" spans="1:16" ht="288.75" customHeight="1" x14ac:dyDescent="0.25">
      <c r="A40" s="50" t="s">
        <v>209</v>
      </c>
      <c r="B40" s="36" t="s">
        <v>205</v>
      </c>
      <c r="C40" s="54">
        <f>D40+E40</f>
        <v>339.54600000000005</v>
      </c>
      <c r="D40" s="54">
        <v>3.4460000000000002</v>
      </c>
      <c r="E40" s="54">
        <v>336.1</v>
      </c>
      <c r="F40" s="30">
        <v>0</v>
      </c>
      <c r="G40" s="30">
        <v>0</v>
      </c>
      <c r="H40" s="39" t="s">
        <v>212</v>
      </c>
      <c r="I40" s="39" t="s">
        <v>208</v>
      </c>
      <c r="M40" s="7"/>
    </row>
    <row r="41" spans="1:16" ht="298.5" customHeight="1" x14ac:dyDescent="0.25">
      <c r="A41" s="50" t="s">
        <v>210</v>
      </c>
      <c r="B41" s="36" t="s">
        <v>205</v>
      </c>
      <c r="C41" s="54">
        <f>D41+E41</f>
        <v>937.59</v>
      </c>
      <c r="D41" s="54">
        <v>9.39</v>
      </c>
      <c r="E41" s="54">
        <v>928.2</v>
      </c>
      <c r="F41" s="30">
        <v>0</v>
      </c>
      <c r="G41" s="30">
        <v>0</v>
      </c>
      <c r="H41" s="39" t="s">
        <v>213</v>
      </c>
      <c r="I41" s="39" t="s">
        <v>208</v>
      </c>
      <c r="M41" s="7"/>
    </row>
    <row r="42" spans="1:16" ht="279" customHeight="1" x14ac:dyDescent="0.25">
      <c r="A42" s="50" t="s">
        <v>211</v>
      </c>
      <c r="B42" s="36" t="s">
        <v>205</v>
      </c>
      <c r="C42" s="54">
        <f>D42+E42</f>
        <v>293.00799999999998</v>
      </c>
      <c r="D42" s="54">
        <v>3.008</v>
      </c>
      <c r="E42" s="54">
        <v>290</v>
      </c>
      <c r="F42" s="30">
        <v>0</v>
      </c>
      <c r="G42" s="30">
        <v>0</v>
      </c>
      <c r="H42" s="39" t="s">
        <v>214</v>
      </c>
      <c r="I42" s="39" t="s">
        <v>208</v>
      </c>
      <c r="M42" s="7"/>
    </row>
    <row r="43" spans="1:16" ht="279" customHeight="1" x14ac:dyDescent="0.25">
      <c r="A43" s="35" t="s">
        <v>215</v>
      </c>
      <c r="B43" s="36" t="s">
        <v>231</v>
      </c>
      <c r="C43" s="55">
        <f>D43+E43+F43+G43</f>
        <v>1122.5999999999999</v>
      </c>
      <c r="D43" s="55">
        <v>0</v>
      </c>
      <c r="E43" s="55">
        <v>0</v>
      </c>
      <c r="F43" s="55">
        <v>1122.5999999999999</v>
      </c>
      <c r="G43" s="55">
        <v>0</v>
      </c>
      <c r="H43" s="39" t="s">
        <v>232</v>
      </c>
      <c r="I43" s="38" t="s">
        <v>83</v>
      </c>
      <c r="K43" s="24"/>
      <c r="L43" s="24"/>
      <c r="M43" s="7"/>
    </row>
    <row r="44" spans="1:16" ht="25.5" customHeight="1" x14ac:dyDescent="0.25">
      <c r="A44" s="68" t="s">
        <v>41</v>
      </c>
      <c r="B44" s="69"/>
      <c r="C44" s="30">
        <f>D44+F44+G44</f>
        <v>173480.44399999999</v>
      </c>
      <c r="D44" s="30">
        <f>D18+D21+D22+D23+D28+D31+D32+D34+D35+D36+D33+D37+D38+D39</f>
        <v>60210.043999999994</v>
      </c>
      <c r="E44" s="30">
        <f>E39+E36+E35</f>
        <v>1686.3000000000002</v>
      </c>
      <c r="F44" s="30">
        <f>F18+F21+F22+F23+F28+F31+F32+F34+F35+F36+F33+F37+F43</f>
        <v>52722</v>
      </c>
      <c r="G44" s="30">
        <f>G18+G21+G22+G23+G28+G31+G32+G34+G35+G36+G33+G37+G43</f>
        <v>60548.4</v>
      </c>
      <c r="H44" s="43"/>
      <c r="I44" s="33"/>
      <c r="K44" s="25"/>
      <c r="L44" s="25"/>
      <c r="M44" s="24"/>
      <c r="N44" s="24"/>
      <c r="O44" s="24"/>
      <c r="P44" s="24"/>
    </row>
    <row r="45" spans="1:16" ht="31.5" customHeight="1" x14ac:dyDescent="0.25">
      <c r="A45" s="33">
        <v>2</v>
      </c>
      <c r="B45" s="65" t="s">
        <v>39</v>
      </c>
      <c r="C45" s="66"/>
      <c r="D45" s="66"/>
      <c r="E45" s="66"/>
      <c r="F45" s="66"/>
      <c r="G45" s="66"/>
      <c r="H45" s="66"/>
      <c r="I45" s="67"/>
      <c r="K45" s="24"/>
    </row>
    <row r="46" spans="1:16" ht="76.5" x14ac:dyDescent="0.25">
      <c r="A46" s="35" t="s">
        <v>42</v>
      </c>
      <c r="B46" s="36" t="s">
        <v>43</v>
      </c>
      <c r="C46" s="30">
        <f t="shared" si="1"/>
        <v>3458</v>
      </c>
      <c r="D46" s="30">
        <v>1804</v>
      </c>
      <c r="E46" s="30">
        <v>0</v>
      </c>
      <c r="F46" s="30">
        <v>800</v>
      </c>
      <c r="G46" s="30">
        <v>854</v>
      </c>
      <c r="H46" s="39" t="s">
        <v>166</v>
      </c>
      <c r="I46" s="39" t="s">
        <v>83</v>
      </c>
      <c r="L46" s="58"/>
    </row>
    <row r="47" spans="1:16" ht="63.75" x14ac:dyDescent="0.25">
      <c r="A47" s="35" t="s">
        <v>44</v>
      </c>
      <c r="B47" s="36" t="s">
        <v>45</v>
      </c>
      <c r="C47" s="30">
        <f t="shared" si="1"/>
        <v>7659.7000000000007</v>
      </c>
      <c r="D47" s="30">
        <f>2949-26.2-327.1</f>
        <v>2595.7000000000003</v>
      </c>
      <c r="E47" s="30">
        <v>0</v>
      </c>
      <c r="F47" s="30">
        <v>2532</v>
      </c>
      <c r="G47" s="30">
        <v>2532</v>
      </c>
      <c r="H47" s="39" t="s">
        <v>147</v>
      </c>
      <c r="I47" s="39" t="s">
        <v>84</v>
      </c>
    </row>
    <row r="48" spans="1:16" ht="51" x14ac:dyDescent="0.25">
      <c r="A48" s="35" t="s">
        <v>46</v>
      </c>
      <c r="B48" s="36" t="s">
        <v>47</v>
      </c>
      <c r="C48" s="30">
        <f t="shared" si="1"/>
        <v>157687.6</v>
      </c>
      <c r="D48" s="30">
        <v>53346.6</v>
      </c>
      <c r="E48" s="30">
        <v>0</v>
      </c>
      <c r="F48" s="30">
        <v>50330</v>
      </c>
      <c r="G48" s="30">
        <v>54011</v>
      </c>
      <c r="H48" s="39" t="s">
        <v>113</v>
      </c>
      <c r="I48" s="39" t="s">
        <v>85</v>
      </c>
    </row>
    <row r="49" spans="1:15" s="15" customFormat="1" ht="25.5" customHeight="1" x14ac:dyDescent="0.25">
      <c r="A49" s="68" t="s">
        <v>41</v>
      </c>
      <c r="B49" s="69"/>
      <c r="C49" s="30">
        <f>D49+F49+G49</f>
        <v>168805.3</v>
      </c>
      <c r="D49" s="31">
        <f>SUM(D46:D48)</f>
        <v>57746.3</v>
      </c>
      <c r="E49" s="31">
        <f>E46+E47+E48</f>
        <v>0</v>
      </c>
      <c r="F49" s="44">
        <f t="shared" ref="F49:G49" si="4">SUM(F46:F48)</f>
        <v>53662</v>
      </c>
      <c r="G49" s="44">
        <f t="shared" si="4"/>
        <v>57397</v>
      </c>
      <c r="H49" s="32"/>
      <c r="I49" s="33"/>
      <c r="L49" s="25"/>
    </row>
    <row r="50" spans="1:15" ht="33" customHeight="1" x14ac:dyDescent="0.25">
      <c r="A50" s="35" t="s">
        <v>49</v>
      </c>
      <c r="B50" s="62" t="s">
        <v>48</v>
      </c>
      <c r="C50" s="63"/>
      <c r="D50" s="63"/>
      <c r="E50" s="63"/>
      <c r="F50" s="63"/>
      <c r="G50" s="63"/>
      <c r="H50" s="63"/>
      <c r="I50" s="64"/>
    </row>
    <row r="51" spans="1:15" ht="63" customHeight="1" x14ac:dyDescent="0.25">
      <c r="A51" s="35" t="s">
        <v>50</v>
      </c>
      <c r="B51" s="36" t="s">
        <v>167</v>
      </c>
      <c r="C51" s="45">
        <f t="shared" si="1"/>
        <v>150843.9</v>
      </c>
      <c r="D51" s="30">
        <f>49575+284-731.4-1133.7</f>
        <v>47993.9</v>
      </c>
      <c r="E51" s="30">
        <v>0</v>
      </c>
      <c r="F51" s="30">
        <v>50760</v>
      </c>
      <c r="G51" s="30">
        <v>52090</v>
      </c>
      <c r="H51" s="39" t="s">
        <v>119</v>
      </c>
      <c r="I51" s="39" t="s">
        <v>138</v>
      </c>
    </row>
    <row r="52" spans="1:15" ht="79.5" customHeight="1" x14ac:dyDescent="0.25">
      <c r="A52" s="35" t="s">
        <v>51</v>
      </c>
      <c r="B52" s="36" t="s">
        <v>25</v>
      </c>
      <c r="C52" s="45">
        <f t="shared" si="1"/>
        <v>12724.8</v>
      </c>
      <c r="D52" s="30">
        <f>SUM(D53:D58)</f>
        <v>4040.8</v>
      </c>
      <c r="E52" s="30">
        <v>0</v>
      </c>
      <c r="F52" s="30">
        <f>SUM(F53:F58)</f>
        <v>4282</v>
      </c>
      <c r="G52" s="30">
        <f t="shared" ref="G52" si="5">SUM(G53:G57)</f>
        <v>4402</v>
      </c>
      <c r="H52" s="37"/>
      <c r="I52" s="39"/>
      <c r="L52" s="24">
        <f>4402-G52</f>
        <v>0</v>
      </c>
    </row>
    <row r="53" spans="1:15" ht="66" customHeight="1" x14ac:dyDescent="0.25">
      <c r="A53" s="35" t="s">
        <v>135</v>
      </c>
      <c r="B53" s="36" t="s">
        <v>52</v>
      </c>
      <c r="C53" s="45">
        <f t="shared" ref="C53:C95" si="6">D53+F53+G53</f>
        <v>105</v>
      </c>
      <c r="D53" s="30">
        <f>105-105</f>
        <v>0</v>
      </c>
      <c r="E53" s="30">
        <v>0</v>
      </c>
      <c r="F53" s="30">
        <v>0</v>
      </c>
      <c r="G53" s="30">
        <v>105</v>
      </c>
      <c r="H53" s="39" t="s">
        <v>148</v>
      </c>
      <c r="I53" s="39" t="s">
        <v>138</v>
      </c>
      <c r="L53" s="24"/>
      <c r="M53" s="24"/>
    </row>
    <row r="54" spans="1:15" ht="153" x14ac:dyDescent="0.25">
      <c r="A54" s="35" t="s">
        <v>95</v>
      </c>
      <c r="B54" s="36" t="s">
        <v>53</v>
      </c>
      <c r="C54" s="45">
        <f t="shared" si="6"/>
        <v>4741.5</v>
      </c>
      <c r="D54" s="30">
        <f>1232+462-41.9-6.6</f>
        <v>1645.5</v>
      </c>
      <c r="E54" s="30">
        <v>0</v>
      </c>
      <c r="F54" s="30">
        <f>1232+472</f>
        <v>1704</v>
      </c>
      <c r="G54" s="30">
        <f>1232+160</f>
        <v>1392</v>
      </c>
      <c r="H54" s="39" t="s">
        <v>149</v>
      </c>
      <c r="I54" s="39" t="s">
        <v>138</v>
      </c>
      <c r="K54" s="7"/>
      <c r="M54" s="24"/>
    </row>
    <row r="55" spans="1:15" ht="63.75" x14ac:dyDescent="0.25">
      <c r="A55" s="35" t="s">
        <v>96</v>
      </c>
      <c r="B55" s="36" t="s">
        <v>54</v>
      </c>
      <c r="C55" s="45">
        <f t="shared" si="6"/>
        <v>5659</v>
      </c>
      <c r="D55" s="30">
        <f>1955-181.2</f>
        <v>1773.8</v>
      </c>
      <c r="E55" s="30">
        <v>0</v>
      </c>
      <c r="F55" s="30">
        <f>1955-24.9+0.1</f>
        <v>1930.1999999999998</v>
      </c>
      <c r="G55" s="30">
        <v>1955</v>
      </c>
      <c r="H55" s="39" t="s">
        <v>150</v>
      </c>
      <c r="I55" s="39" t="s">
        <v>138</v>
      </c>
    </row>
    <row r="56" spans="1:15" ht="63.75" x14ac:dyDescent="0.25">
      <c r="A56" s="35" t="s">
        <v>97</v>
      </c>
      <c r="B56" s="36" t="s">
        <v>26</v>
      </c>
      <c r="C56" s="30">
        <f t="shared" si="6"/>
        <v>283.60000000000002</v>
      </c>
      <c r="D56" s="30">
        <f>150-66.3+0.1</f>
        <v>83.8</v>
      </c>
      <c r="E56" s="30">
        <v>0</v>
      </c>
      <c r="F56" s="30">
        <v>49.8</v>
      </c>
      <c r="G56" s="30">
        <v>150</v>
      </c>
      <c r="H56" s="39" t="s">
        <v>144</v>
      </c>
      <c r="I56" s="39" t="s">
        <v>138</v>
      </c>
    </row>
    <row r="57" spans="1:15" ht="114.75" x14ac:dyDescent="0.25">
      <c r="A57" s="35" t="s">
        <v>180</v>
      </c>
      <c r="B57" s="36" t="s">
        <v>55</v>
      </c>
      <c r="C57" s="45">
        <f t="shared" si="6"/>
        <v>1337.7</v>
      </c>
      <c r="D57" s="30">
        <f>1000-462-0.3</f>
        <v>537.70000000000005</v>
      </c>
      <c r="E57" s="30">
        <v>0</v>
      </c>
      <c r="F57" s="30">
        <v>0</v>
      </c>
      <c r="G57" s="30">
        <f>1000-200</f>
        <v>800</v>
      </c>
      <c r="H57" s="39" t="s">
        <v>220</v>
      </c>
      <c r="I57" s="39" t="s">
        <v>138</v>
      </c>
      <c r="K57" s="7"/>
    </row>
    <row r="58" spans="1:15" ht="63.75" x14ac:dyDescent="0.25">
      <c r="A58" s="35" t="s">
        <v>192</v>
      </c>
      <c r="B58" s="36" t="s">
        <v>179</v>
      </c>
      <c r="C58" s="30">
        <f>D58+F58+G58</f>
        <v>598</v>
      </c>
      <c r="D58" s="30">
        <v>0</v>
      </c>
      <c r="E58" s="30">
        <v>0</v>
      </c>
      <c r="F58" s="30">
        <v>598</v>
      </c>
      <c r="G58" s="30">
        <v>0</v>
      </c>
      <c r="H58" s="39" t="s">
        <v>190</v>
      </c>
      <c r="I58" s="39" t="s">
        <v>138</v>
      </c>
      <c r="K58" s="7"/>
    </row>
    <row r="59" spans="1:15" ht="63.75" x14ac:dyDescent="0.25">
      <c r="A59" s="35" t="s">
        <v>56</v>
      </c>
      <c r="B59" s="36" t="s">
        <v>68</v>
      </c>
      <c r="C59" s="45">
        <f t="shared" si="6"/>
        <v>6550.1</v>
      </c>
      <c r="D59" s="30">
        <v>1758.9</v>
      </c>
      <c r="E59" s="30">
        <v>0</v>
      </c>
      <c r="F59" s="30">
        <v>2100</v>
      </c>
      <c r="G59" s="30">
        <v>2691.2</v>
      </c>
      <c r="H59" s="39" t="s">
        <v>151</v>
      </c>
      <c r="I59" s="39" t="s">
        <v>138</v>
      </c>
      <c r="K59" s="7"/>
      <c r="L59" s="7"/>
    </row>
    <row r="60" spans="1:15" ht="63.75" x14ac:dyDescent="0.25">
      <c r="A60" s="35" t="s">
        <v>58</v>
      </c>
      <c r="B60" s="36" t="s">
        <v>122</v>
      </c>
      <c r="C60" s="45">
        <f>D60+F60+G60</f>
        <v>698.3</v>
      </c>
      <c r="D60" s="30">
        <v>698.3</v>
      </c>
      <c r="E60" s="30">
        <v>0</v>
      </c>
      <c r="F60" s="30">
        <v>0</v>
      </c>
      <c r="G60" s="30">
        <v>0</v>
      </c>
      <c r="H60" s="39" t="s">
        <v>142</v>
      </c>
      <c r="I60" s="39" t="s">
        <v>138</v>
      </c>
    </row>
    <row r="61" spans="1:15" ht="63.75" x14ac:dyDescent="0.25">
      <c r="A61" s="35" t="s">
        <v>136</v>
      </c>
      <c r="B61" s="36" t="s">
        <v>57</v>
      </c>
      <c r="C61" s="45">
        <f t="shared" si="6"/>
        <v>598.83000000000004</v>
      </c>
      <c r="D61" s="30">
        <f>2559-1689-656.7+0.03-15.3</f>
        <v>198.02999999999994</v>
      </c>
      <c r="E61" s="30">
        <v>0</v>
      </c>
      <c r="F61" s="30">
        <f>2559-2358.6</f>
        <v>200.40000000000009</v>
      </c>
      <c r="G61" s="30">
        <v>200.4</v>
      </c>
      <c r="H61" s="39" t="s">
        <v>152</v>
      </c>
      <c r="I61" s="39" t="s">
        <v>138</v>
      </c>
      <c r="K61" s="7"/>
      <c r="M61" s="7"/>
    </row>
    <row r="62" spans="1:15" ht="141.75" x14ac:dyDescent="0.25">
      <c r="A62" s="35" t="s">
        <v>137</v>
      </c>
      <c r="B62" s="36" t="s">
        <v>203</v>
      </c>
      <c r="C62" s="30">
        <f t="shared" si="6"/>
        <v>16720.5</v>
      </c>
      <c r="D62" s="30">
        <v>15680.5</v>
      </c>
      <c r="E62" s="30">
        <v>0</v>
      </c>
      <c r="F62" s="30">
        <v>520</v>
      </c>
      <c r="G62" s="30">
        <v>520</v>
      </c>
      <c r="H62" s="39" t="s">
        <v>191</v>
      </c>
      <c r="I62" s="39" t="s">
        <v>138</v>
      </c>
      <c r="K62" s="7"/>
      <c r="M62" s="7"/>
    </row>
    <row r="63" spans="1:15" ht="204" x14ac:dyDescent="0.25">
      <c r="A63" s="35" t="s">
        <v>181</v>
      </c>
      <c r="B63" s="36" t="s">
        <v>153</v>
      </c>
      <c r="C63" s="45">
        <f>D63+F63+G63+E63</f>
        <v>35003.199999999997</v>
      </c>
      <c r="D63" s="30">
        <f>6592+2904-4805.2</f>
        <v>4690.8</v>
      </c>
      <c r="E63" s="30">
        <v>16492.400000000001</v>
      </c>
      <c r="F63" s="30">
        <v>6910</v>
      </c>
      <c r="G63" s="30">
        <v>6910</v>
      </c>
      <c r="H63" s="39" t="s">
        <v>186</v>
      </c>
      <c r="I63" s="39" t="s">
        <v>138</v>
      </c>
      <c r="O63" s="7"/>
    </row>
    <row r="64" spans="1:15" ht="63.75" x14ac:dyDescent="0.25">
      <c r="A64" s="35" t="s">
        <v>216</v>
      </c>
      <c r="B64" s="41" t="s">
        <v>217</v>
      </c>
      <c r="C64" s="45">
        <f>D64+E64+F64+G64</f>
        <v>51024</v>
      </c>
      <c r="D64" s="30">
        <v>0</v>
      </c>
      <c r="E64" s="30">
        <v>0</v>
      </c>
      <c r="F64" s="30">
        <v>25512</v>
      </c>
      <c r="G64" s="30">
        <v>25512</v>
      </c>
      <c r="H64" s="39" t="s">
        <v>221</v>
      </c>
      <c r="I64" s="39" t="s">
        <v>138</v>
      </c>
      <c r="O64" s="7"/>
    </row>
    <row r="65" spans="1:17" ht="63.75" x14ac:dyDescent="0.25">
      <c r="A65" s="35" t="s">
        <v>218</v>
      </c>
      <c r="B65" s="41" t="s">
        <v>219</v>
      </c>
      <c r="C65" s="45">
        <f>D65+E65+F65+G65</f>
        <v>5976.8</v>
      </c>
      <c r="D65" s="30">
        <v>0</v>
      </c>
      <c r="E65" s="30">
        <v>0</v>
      </c>
      <c r="F65" s="30">
        <v>2988.4</v>
      </c>
      <c r="G65" s="30">
        <v>2988.4</v>
      </c>
      <c r="H65" s="41" t="s">
        <v>219</v>
      </c>
      <c r="I65" s="39" t="s">
        <v>138</v>
      </c>
      <c r="O65" s="7"/>
    </row>
    <row r="66" spans="1:17" s="15" customFormat="1" ht="25.5" customHeight="1" x14ac:dyDescent="0.25">
      <c r="A66" s="68" t="s">
        <v>41</v>
      </c>
      <c r="B66" s="69"/>
      <c r="C66" s="45">
        <f>D66+F66+G66</f>
        <v>263648.02999999997</v>
      </c>
      <c r="D66" s="31">
        <f>D51+D52+D63+D59+D61+D60+D62</f>
        <v>75061.23000000001</v>
      </c>
      <c r="E66" s="31">
        <f>E63</f>
        <v>16492.400000000001</v>
      </c>
      <c r="F66" s="31">
        <f>F51+F52+F63+F59+F61+F60+F62+F64+F65</f>
        <v>93272.799999999988</v>
      </c>
      <c r="G66" s="31">
        <f>G51+G52+G63+G59+G61+G60+G64+G65+G62</f>
        <v>95313.999999999985</v>
      </c>
      <c r="H66" s="32"/>
      <c r="I66" s="33"/>
      <c r="K66" s="25"/>
      <c r="L66" s="25">
        <f>95314-G66</f>
        <v>0</v>
      </c>
    </row>
    <row r="67" spans="1:17" ht="33.75" customHeight="1" x14ac:dyDescent="0.25">
      <c r="A67" s="35" t="s">
        <v>63</v>
      </c>
      <c r="B67" s="62" t="s">
        <v>62</v>
      </c>
      <c r="C67" s="63"/>
      <c r="D67" s="63"/>
      <c r="E67" s="63"/>
      <c r="F67" s="63"/>
      <c r="G67" s="63"/>
      <c r="H67" s="63"/>
      <c r="I67" s="64"/>
      <c r="K67" s="24"/>
    </row>
    <row r="68" spans="1:17" ht="63" x14ac:dyDescent="0.25">
      <c r="A68" s="35" t="s">
        <v>64</v>
      </c>
      <c r="B68" s="36" t="s">
        <v>59</v>
      </c>
      <c r="C68" s="30">
        <f t="shared" si="6"/>
        <v>430</v>
      </c>
      <c r="D68" s="30">
        <f>SUM(D69:D72)</f>
        <v>115</v>
      </c>
      <c r="E68" s="30">
        <v>0</v>
      </c>
      <c r="F68" s="30">
        <f>SUM(F69:F72)</f>
        <v>0</v>
      </c>
      <c r="G68" s="30">
        <f>SUM(G69:G72)</f>
        <v>315</v>
      </c>
      <c r="H68" s="46"/>
      <c r="I68" s="37"/>
    </row>
    <row r="69" spans="1:17" ht="114.75" x14ac:dyDescent="0.25">
      <c r="A69" s="35" t="s">
        <v>98</v>
      </c>
      <c r="B69" s="36" t="s">
        <v>60</v>
      </c>
      <c r="C69" s="30">
        <f t="shared" si="6"/>
        <v>24</v>
      </c>
      <c r="D69" s="30">
        <v>9</v>
      </c>
      <c r="E69" s="30">
        <v>0</v>
      </c>
      <c r="F69" s="30">
        <v>0</v>
      </c>
      <c r="G69" s="30">
        <v>15</v>
      </c>
      <c r="H69" s="39" t="s">
        <v>228</v>
      </c>
      <c r="I69" s="39" t="s">
        <v>86</v>
      </c>
    </row>
    <row r="70" spans="1:17" ht="114.75" x14ac:dyDescent="0.25">
      <c r="A70" s="35" t="s">
        <v>99</v>
      </c>
      <c r="B70" s="36" t="s">
        <v>61</v>
      </c>
      <c r="C70" s="30">
        <f t="shared" si="6"/>
        <v>406</v>
      </c>
      <c r="D70" s="30">
        <v>106</v>
      </c>
      <c r="E70" s="30">
        <v>0</v>
      </c>
      <c r="F70" s="30">
        <v>0</v>
      </c>
      <c r="G70" s="30">
        <f>250+50</f>
        <v>300</v>
      </c>
      <c r="H70" s="39" t="s">
        <v>222</v>
      </c>
      <c r="I70" s="39" t="s">
        <v>86</v>
      </c>
    </row>
    <row r="71" spans="1:17" ht="63" x14ac:dyDescent="0.25">
      <c r="A71" s="35" t="s">
        <v>100</v>
      </c>
      <c r="B71" s="36" t="s">
        <v>73</v>
      </c>
      <c r="C71" s="30">
        <f t="shared" si="6"/>
        <v>0</v>
      </c>
      <c r="D71" s="30">
        <f>300-300</f>
        <v>0</v>
      </c>
      <c r="E71" s="30">
        <v>0</v>
      </c>
      <c r="F71" s="30">
        <v>0</v>
      </c>
      <c r="G71" s="30">
        <v>0</v>
      </c>
      <c r="H71" s="39" t="s">
        <v>223</v>
      </c>
      <c r="I71" s="39" t="s">
        <v>86</v>
      </c>
    </row>
    <row r="72" spans="1:17" ht="69" customHeight="1" x14ac:dyDescent="0.25">
      <c r="A72" s="35" t="s">
        <v>101</v>
      </c>
      <c r="B72" s="36" t="s">
        <v>74</v>
      </c>
      <c r="C72" s="30">
        <f t="shared" si="6"/>
        <v>0</v>
      </c>
      <c r="D72" s="30">
        <f>3300-3300</f>
        <v>0</v>
      </c>
      <c r="E72" s="30">
        <v>0</v>
      </c>
      <c r="F72" s="30">
        <v>0</v>
      </c>
      <c r="G72" s="30">
        <v>0</v>
      </c>
      <c r="H72" s="39" t="s">
        <v>224</v>
      </c>
      <c r="I72" s="39" t="s">
        <v>86</v>
      </c>
    </row>
    <row r="73" spans="1:17" ht="71.25" customHeight="1" x14ac:dyDescent="0.25">
      <c r="A73" s="35" t="s">
        <v>114</v>
      </c>
      <c r="B73" s="36" t="s">
        <v>69</v>
      </c>
      <c r="C73" s="30">
        <f>C74+C75</f>
        <v>215</v>
      </c>
      <c r="D73" s="30">
        <f>D74+D75</f>
        <v>0</v>
      </c>
      <c r="E73" s="30">
        <v>0</v>
      </c>
      <c r="F73" s="30">
        <v>0</v>
      </c>
      <c r="G73" s="30">
        <v>0</v>
      </c>
      <c r="H73" s="47"/>
      <c r="I73" s="39"/>
    </row>
    <row r="74" spans="1:17" ht="129.75" customHeight="1" x14ac:dyDescent="0.25">
      <c r="A74" s="35" t="s">
        <v>115</v>
      </c>
      <c r="B74" s="36" t="s">
        <v>72</v>
      </c>
      <c r="C74" s="30">
        <f>D74+F74+G74</f>
        <v>0</v>
      </c>
      <c r="D74" s="30">
        <f>128-128</f>
        <v>0</v>
      </c>
      <c r="E74" s="30">
        <v>0</v>
      </c>
      <c r="F74" s="30">
        <v>0</v>
      </c>
      <c r="G74" s="30">
        <v>0</v>
      </c>
      <c r="H74" s="48" t="s">
        <v>154</v>
      </c>
      <c r="I74" s="39" t="s">
        <v>86</v>
      </c>
    </row>
    <row r="75" spans="1:17" ht="126.75" customHeight="1" x14ac:dyDescent="0.25">
      <c r="A75" s="35" t="s">
        <v>116</v>
      </c>
      <c r="B75" s="36" t="s">
        <v>71</v>
      </c>
      <c r="C75" s="30">
        <f t="shared" ref="C75" si="7">D75+F75+G75</f>
        <v>215</v>
      </c>
      <c r="D75" s="30">
        <f>50-50</f>
        <v>0</v>
      </c>
      <c r="E75" s="30">
        <v>0</v>
      </c>
      <c r="F75" s="30">
        <v>215</v>
      </c>
      <c r="G75" s="30">
        <v>0</v>
      </c>
      <c r="H75" s="48" t="s">
        <v>155</v>
      </c>
      <c r="I75" s="39" t="s">
        <v>86</v>
      </c>
    </row>
    <row r="76" spans="1:17" ht="77.25" customHeight="1" x14ac:dyDescent="0.25">
      <c r="A76" s="35" t="s">
        <v>70</v>
      </c>
      <c r="B76" s="49" t="s">
        <v>81</v>
      </c>
      <c r="C76" s="30">
        <f t="shared" si="6"/>
        <v>89638.9</v>
      </c>
      <c r="D76" s="30">
        <v>27735.9</v>
      </c>
      <c r="E76" s="30">
        <v>0</v>
      </c>
      <c r="F76" s="30">
        <v>30268</v>
      </c>
      <c r="G76" s="30">
        <v>31635</v>
      </c>
      <c r="H76" s="48" t="s">
        <v>156</v>
      </c>
      <c r="I76" s="39" t="s">
        <v>86</v>
      </c>
    </row>
    <row r="77" spans="1:17" ht="99" customHeight="1" x14ac:dyDescent="0.25">
      <c r="A77" s="50" t="s">
        <v>128</v>
      </c>
      <c r="B77" s="36" t="s">
        <v>129</v>
      </c>
      <c r="C77" s="30">
        <f t="shared" si="6"/>
        <v>78.7</v>
      </c>
      <c r="D77" s="30">
        <v>78.7</v>
      </c>
      <c r="E77" s="30">
        <v>0</v>
      </c>
      <c r="F77" s="30">
        <v>0</v>
      </c>
      <c r="G77" s="30">
        <v>0</v>
      </c>
      <c r="H77" s="48" t="s">
        <v>157</v>
      </c>
      <c r="I77" s="39" t="s">
        <v>130</v>
      </c>
    </row>
    <row r="78" spans="1:17" ht="75" customHeight="1" x14ac:dyDescent="0.25">
      <c r="A78" s="35" t="s">
        <v>131</v>
      </c>
      <c r="B78" s="36" t="s">
        <v>132</v>
      </c>
      <c r="C78" s="30">
        <f t="shared" si="6"/>
        <v>103.9</v>
      </c>
      <c r="D78" s="30">
        <f>104-0.1</f>
        <v>103.9</v>
      </c>
      <c r="E78" s="30">
        <v>0</v>
      </c>
      <c r="F78" s="30">
        <v>0</v>
      </c>
      <c r="G78" s="30">
        <v>0</v>
      </c>
      <c r="H78" s="48" t="s">
        <v>158</v>
      </c>
      <c r="I78" s="39" t="s">
        <v>133</v>
      </c>
    </row>
    <row r="79" spans="1:17" ht="92.25" customHeight="1" x14ac:dyDescent="0.25">
      <c r="A79" s="35" t="s">
        <v>134</v>
      </c>
      <c r="B79" s="36" t="s">
        <v>187</v>
      </c>
      <c r="C79" s="30">
        <f t="shared" si="6"/>
        <v>420.1</v>
      </c>
      <c r="D79" s="30">
        <v>420.1</v>
      </c>
      <c r="E79" s="30">
        <v>0</v>
      </c>
      <c r="F79" s="30">
        <v>0</v>
      </c>
      <c r="G79" s="30">
        <v>0</v>
      </c>
      <c r="H79" s="48" t="s">
        <v>189</v>
      </c>
      <c r="I79" s="39" t="s">
        <v>188</v>
      </c>
      <c r="N79" s="19"/>
    </row>
    <row r="80" spans="1:17" ht="76.5" customHeight="1" x14ac:dyDescent="0.25">
      <c r="A80" s="35" t="s">
        <v>182</v>
      </c>
      <c r="B80" s="41" t="s">
        <v>183</v>
      </c>
      <c r="C80" s="30">
        <f>D80+F80+G80</f>
        <v>20</v>
      </c>
      <c r="D80" s="30">
        <v>20</v>
      </c>
      <c r="E80" s="30">
        <v>0</v>
      </c>
      <c r="F80" s="30">
        <v>0</v>
      </c>
      <c r="G80" s="30">
        <v>0</v>
      </c>
      <c r="H80" s="48" t="s">
        <v>184</v>
      </c>
      <c r="I80" s="39" t="s">
        <v>185</v>
      </c>
      <c r="N80" s="18"/>
      <c r="O80" s="10"/>
      <c r="P80" s="10"/>
      <c r="Q80" s="10"/>
    </row>
    <row r="81" spans="1:17" s="15" customFormat="1" ht="25.5" customHeight="1" x14ac:dyDescent="0.25">
      <c r="A81" s="68" t="s">
        <v>41</v>
      </c>
      <c r="B81" s="69"/>
      <c r="C81" s="30">
        <f>D81+F81+G81</f>
        <v>90906.6</v>
      </c>
      <c r="D81" s="31">
        <f>D73+D68+D76+D77+D78+D79+D80</f>
        <v>28473.600000000002</v>
      </c>
      <c r="E81" s="31">
        <v>0</v>
      </c>
      <c r="F81" s="31">
        <f>F73+F68+F76+F77+F78+F79+F75</f>
        <v>30483</v>
      </c>
      <c r="G81" s="31">
        <f>G73+G68+G76+G77+G78+G79</f>
        <v>31950</v>
      </c>
      <c r="H81" s="32"/>
      <c r="I81" s="33"/>
      <c r="K81" s="25">
        <f>31950-G81</f>
        <v>0</v>
      </c>
      <c r="L81" s="25"/>
      <c r="N81" s="27"/>
      <c r="O81" s="27"/>
      <c r="P81" s="27"/>
      <c r="Q81" s="27"/>
    </row>
    <row r="82" spans="1:17" ht="31.5" customHeight="1" x14ac:dyDescent="0.25">
      <c r="A82" s="35" t="s">
        <v>65</v>
      </c>
      <c r="B82" s="62" t="s">
        <v>229</v>
      </c>
      <c r="C82" s="63"/>
      <c r="D82" s="63"/>
      <c r="E82" s="63"/>
      <c r="F82" s="63"/>
      <c r="G82" s="63"/>
      <c r="H82" s="63"/>
      <c r="I82" s="64"/>
      <c r="K82" s="7"/>
      <c r="N82" s="10"/>
      <c r="O82" s="10"/>
      <c r="P82" s="10"/>
      <c r="Q82" s="10"/>
    </row>
    <row r="83" spans="1:17" ht="115.5" customHeight="1" x14ac:dyDescent="0.25">
      <c r="A83" s="35" t="s">
        <v>66</v>
      </c>
      <c r="B83" s="36" t="s">
        <v>82</v>
      </c>
      <c r="C83" s="45">
        <f t="shared" si="6"/>
        <v>30109.800000000003</v>
      </c>
      <c r="D83" s="51">
        <f>SUM(D84:D90)</f>
        <v>10025.6</v>
      </c>
      <c r="E83" s="51">
        <v>0</v>
      </c>
      <c r="F83" s="45">
        <f t="shared" ref="F83:G83" si="8">SUM(F84:F90)</f>
        <v>9842.2000000000007</v>
      </c>
      <c r="G83" s="45">
        <f t="shared" si="8"/>
        <v>10242</v>
      </c>
      <c r="H83" s="37"/>
      <c r="I83" s="39" t="s">
        <v>86</v>
      </c>
      <c r="N83" s="10"/>
      <c r="O83" s="10"/>
      <c r="P83" s="10"/>
      <c r="Q83" s="10"/>
    </row>
    <row r="84" spans="1:17" ht="51" x14ac:dyDescent="0.25">
      <c r="A84" s="35" t="s">
        <v>102</v>
      </c>
      <c r="B84" s="36" t="s">
        <v>67</v>
      </c>
      <c r="C84" s="45">
        <f t="shared" si="6"/>
        <v>5325.3</v>
      </c>
      <c r="D84" s="51">
        <f>1777-5.7</f>
        <v>1771.3</v>
      </c>
      <c r="E84" s="51">
        <v>0</v>
      </c>
      <c r="F84" s="45">
        <v>1777</v>
      </c>
      <c r="G84" s="45">
        <v>1777</v>
      </c>
      <c r="H84" s="39" t="s">
        <v>159</v>
      </c>
      <c r="I84" s="39" t="s">
        <v>196</v>
      </c>
      <c r="N84" s="10"/>
      <c r="O84" s="10"/>
      <c r="P84" s="10"/>
      <c r="Q84" s="10"/>
    </row>
    <row r="85" spans="1:17" ht="63" x14ac:dyDescent="0.25">
      <c r="A85" s="35" t="s">
        <v>103</v>
      </c>
      <c r="B85" s="36" t="s">
        <v>75</v>
      </c>
      <c r="C85" s="45">
        <f t="shared" si="6"/>
        <v>6779</v>
      </c>
      <c r="D85" s="51">
        <f>2548-0.6</f>
        <v>2547.4</v>
      </c>
      <c r="E85" s="51">
        <v>0</v>
      </c>
      <c r="F85" s="45">
        <f>2548-864.4</f>
        <v>1683.6</v>
      </c>
      <c r="G85" s="45">
        <v>2548</v>
      </c>
      <c r="H85" s="39" t="s">
        <v>159</v>
      </c>
      <c r="I85" s="39" t="s">
        <v>86</v>
      </c>
    </row>
    <row r="86" spans="1:17" ht="38.25" x14ac:dyDescent="0.25">
      <c r="A86" s="35" t="s">
        <v>104</v>
      </c>
      <c r="B86" s="36" t="s">
        <v>77</v>
      </c>
      <c r="C86" s="45">
        <f t="shared" si="6"/>
        <v>5555.3</v>
      </c>
      <c r="D86" s="51">
        <f>2150-9.7-20.6</f>
        <v>2119.7000000000003</v>
      </c>
      <c r="E86" s="51">
        <v>0</v>
      </c>
      <c r="F86" s="45">
        <f>2150-864.4</f>
        <v>1285.5999999999999</v>
      </c>
      <c r="G86" s="45">
        <v>2150</v>
      </c>
      <c r="H86" s="39" t="s">
        <v>159</v>
      </c>
      <c r="I86" s="39" t="s">
        <v>86</v>
      </c>
    </row>
    <row r="87" spans="1:17" ht="63.75" x14ac:dyDescent="0.25">
      <c r="A87" s="35" t="s">
        <v>105</v>
      </c>
      <c r="B87" s="36" t="s">
        <v>194</v>
      </c>
      <c r="C87" s="45">
        <f t="shared" si="6"/>
        <v>3308.8</v>
      </c>
      <c r="D87" s="51">
        <f>1274-223.8-119.4-170</f>
        <v>760.80000000000007</v>
      </c>
      <c r="E87" s="51">
        <v>0</v>
      </c>
      <c r="F87" s="45">
        <v>1274</v>
      </c>
      <c r="G87" s="45">
        <v>1274</v>
      </c>
      <c r="H87" s="39" t="s">
        <v>195</v>
      </c>
      <c r="I87" s="39" t="s">
        <v>161</v>
      </c>
    </row>
    <row r="88" spans="1:17" ht="38.25" x14ac:dyDescent="0.25">
      <c r="A88" s="35" t="s">
        <v>106</v>
      </c>
      <c r="B88" s="36" t="s">
        <v>117</v>
      </c>
      <c r="C88" s="45">
        <f t="shared" si="6"/>
        <v>3378.7</v>
      </c>
      <c r="D88" s="51">
        <f>1274-0.3</f>
        <v>1273.7</v>
      </c>
      <c r="E88" s="51">
        <v>0</v>
      </c>
      <c r="F88" s="45">
        <v>1274</v>
      </c>
      <c r="G88" s="45">
        <f>1274-443</f>
        <v>831</v>
      </c>
      <c r="H88" s="39" t="s">
        <v>159</v>
      </c>
      <c r="I88" s="39" t="s">
        <v>86</v>
      </c>
    </row>
    <row r="89" spans="1:17" ht="47.25" x14ac:dyDescent="0.25">
      <c r="A89" s="35" t="s">
        <v>107</v>
      </c>
      <c r="B89" s="36" t="s">
        <v>76</v>
      </c>
      <c r="C89" s="45">
        <f t="shared" si="6"/>
        <v>3233.2</v>
      </c>
      <c r="D89" s="51">
        <f>1274-209.1+63.3</f>
        <v>1128.2</v>
      </c>
      <c r="E89" s="51">
        <v>0</v>
      </c>
      <c r="F89" s="45">
        <v>1274</v>
      </c>
      <c r="G89" s="45">
        <f>1274-443</f>
        <v>831</v>
      </c>
      <c r="H89" s="39" t="s">
        <v>159</v>
      </c>
      <c r="I89" s="39" t="s">
        <v>86</v>
      </c>
    </row>
    <row r="90" spans="1:17" ht="38.25" x14ac:dyDescent="0.25">
      <c r="A90" s="35" t="s">
        <v>108</v>
      </c>
      <c r="B90" s="36" t="s">
        <v>78</v>
      </c>
      <c r="C90" s="45">
        <f t="shared" si="6"/>
        <v>2529.5</v>
      </c>
      <c r="D90" s="51">
        <f>1274-823.3-26.2</f>
        <v>424.50000000000006</v>
      </c>
      <c r="E90" s="51">
        <v>0</v>
      </c>
      <c r="F90" s="45">
        <v>1274</v>
      </c>
      <c r="G90" s="45">
        <f>1274-443</f>
        <v>831</v>
      </c>
      <c r="H90" s="39" t="s">
        <v>159</v>
      </c>
      <c r="I90" s="39" t="s">
        <v>86</v>
      </c>
    </row>
    <row r="91" spans="1:17" ht="117" customHeight="1" x14ac:dyDescent="0.25">
      <c r="A91" s="35" t="s">
        <v>109</v>
      </c>
      <c r="B91" s="36" t="s">
        <v>197</v>
      </c>
      <c r="C91" s="45">
        <f t="shared" si="6"/>
        <v>70</v>
      </c>
      <c r="D91" s="51">
        <f>50-28.7</f>
        <v>21.3</v>
      </c>
      <c r="E91" s="51">
        <v>0</v>
      </c>
      <c r="F91" s="56">
        <v>0</v>
      </c>
      <c r="G91" s="45">
        <f>50-1.3</f>
        <v>48.7</v>
      </c>
      <c r="H91" s="39" t="s">
        <v>201</v>
      </c>
      <c r="I91" s="39" t="s">
        <v>200</v>
      </c>
      <c r="N91" s="19"/>
    </row>
    <row r="92" spans="1:17" ht="153" customHeight="1" x14ac:dyDescent="0.25">
      <c r="A92" s="35" t="s">
        <v>110</v>
      </c>
      <c r="B92" s="36" t="s">
        <v>198</v>
      </c>
      <c r="C92" s="45">
        <f t="shared" si="6"/>
        <v>50</v>
      </c>
      <c r="D92" s="51">
        <f>50-50</f>
        <v>0</v>
      </c>
      <c r="E92" s="51">
        <v>0</v>
      </c>
      <c r="F92" s="56">
        <v>0</v>
      </c>
      <c r="G92" s="45">
        <v>50</v>
      </c>
      <c r="H92" s="39" t="s">
        <v>202</v>
      </c>
      <c r="I92" s="39" t="s">
        <v>200</v>
      </c>
    </row>
    <row r="93" spans="1:17" ht="92.25" customHeight="1" x14ac:dyDescent="0.25">
      <c r="A93" s="35" t="s">
        <v>111</v>
      </c>
      <c r="B93" s="36" t="s">
        <v>199</v>
      </c>
      <c r="C93" s="45">
        <f t="shared" si="6"/>
        <v>148.19999999999999</v>
      </c>
      <c r="D93" s="51">
        <v>73.2</v>
      </c>
      <c r="E93" s="51">
        <v>0</v>
      </c>
      <c r="F93" s="56">
        <v>0</v>
      </c>
      <c r="G93" s="45">
        <v>75</v>
      </c>
      <c r="H93" s="39" t="s">
        <v>225</v>
      </c>
      <c r="I93" s="39" t="s">
        <v>200</v>
      </c>
    </row>
    <row r="94" spans="1:17" ht="63.75" hidden="1" x14ac:dyDescent="0.25">
      <c r="A94" s="35" t="s">
        <v>112</v>
      </c>
      <c r="B94" s="36" t="s">
        <v>79</v>
      </c>
      <c r="C94" s="30">
        <f t="shared" si="6"/>
        <v>0</v>
      </c>
      <c r="D94" s="30">
        <f>1760.7-1760.7</f>
        <v>0</v>
      </c>
      <c r="E94" s="30"/>
      <c r="F94" s="56">
        <v>0</v>
      </c>
      <c r="G94" s="30">
        <v>0</v>
      </c>
      <c r="H94" s="39" t="s">
        <v>160</v>
      </c>
      <c r="I94" s="39" t="s">
        <v>86</v>
      </c>
    </row>
    <row r="95" spans="1:17" ht="96" customHeight="1" x14ac:dyDescent="0.25">
      <c r="A95" s="35" t="s">
        <v>112</v>
      </c>
      <c r="B95" s="36" t="s">
        <v>80</v>
      </c>
      <c r="C95" s="45">
        <f t="shared" si="6"/>
        <v>400.3</v>
      </c>
      <c r="D95" s="51">
        <v>0</v>
      </c>
      <c r="E95" s="51">
        <v>0</v>
      </c>
      <c r="F95" s="56">
        <v>0</v>
      </c>
      <c r="G95" s="45">
        <v>400.3</v>
      </c>
      <c r="H95" s="39" t="s">
        <v>226</v>
      </c>
      <c r="I95" s="39" t="s">
        <v>86</v>
      </c>
      <c r="L95" s="7"/>
    </row>
    <row r="96" spans="1:17" s="15" customFormat="1" ht="25.5" customHeight="1" x14ac:dyDescent="0.25">
      <c r="A96" s="68" t="s">
        <v>41</v>
      </c>
      <c r="B96" s="69"/>
      <c r="C96" s="45">
        <f>D96+F96+G96</f>
        <v>30778.300000000003</v>
      </c>
      <c r="D96" s="52">
        <f>D83+D91+D92+D93+D94+D95</f>
        <v>10120.1</v>
      </c>
      <c r="E96" s="52">
        <v>0</v>
      </c>
      <c r="F96" s="52">
        <f>F83+F91+F92+F93+F94+F95</f>
        <v>9842.2000000000007</v>
      </c>
      <c r="G96" s="52">
        <f>G83+G91+G92+G93+G94+G95</f>
        <v>10816</v>
      </c>
      <c r="H96" s="32"/>
      <c r="I96" s="33"/>
      <c r="L96" s="23">
        <f>G96-10816</f>
        <v>0</v>
      </c>
      <c r="M96" s="15">
        <f>L96/3</f>
        <v>0</v>
      </c>
      <c r="N96" s="26"/>
      <c r="P96" s="26"/>
    </row>
    <row r="97" spans="1:11" x14ac:dyDescent="0.25">
      <c r="A97" s="10"/>
      <c r="B97" s="11"/>
      <c r="C97" s="10"/>
      <c r="D97" s="18"/>
      <c r="E97" s="18"/>
      <c r="F97" s="10"/>
      <c r="G97" s="10"/>
      <c r="H97" s="10"/>
      <c r="I97" s="21"/>
      <c r="K97" s="19"/>
    </row>
    <row r="98" spans="1:11" x14ac:dyDescent="0.25">
      <c r="A98" s="10"/>
      <c r="B98" s="11"/>
      <c r="C98" s="10"/>
      <c r="D98" s="18"/>
      <c r="E98" s="18"/>
      <c r="F98" s="10"/>
      <c r="G98" s="10"/>
      <c r="H98" s="10"/>
      <c r="I98" s="21"/>
    </row>
    <row r="99" spans="1:11" ht="47.25" x14ac:dyDescent="0.25">
      <c r="A99" s="10"/>
      <c r="B99" s="11" t="s">
        <v>120</v>
      </c>
      <c r="C99" s="10"/>
      <c r="D99" s="18"/>
      <c r="E99" s="18"/>
      <c r="F99" s="10" t="s">
        <v>121</v>
      </c>
      <c r="G99" s="10"/>
      <c r="H99" s="10"/>
      <c r="I99" s="21"/>
    </row>
  </sheetData>
  <mergeCells count="29">
    <mergeCell ref="A96:B96"/>
    <mergeCell ref="A49:B49"/>
    <mergeCell ref="B50:I50"/>
    <mergeCell ref="A66:B66"/>
    <mergeCell ref="B67:I67"/>
    <mergeCell ref="B82:I82"/>
    <mergeCell ref="A81:B81"/>
    <mergeCell ref="B17:I17"/>
    <mergeCell ref="B45:I45"/>
    <mergeCell ref="A44:B44"/>
    <mergeCell ref="A16:B16"/>
    <mergeCell ref="A9:I9"/>
    <mergeCell ref="A10:I10"/>
    <mergeCell ref="D12:G12"/>
    <mergeCell ref="D13:G13"/>
    <mergeCell ref="D14:E14"/>
    <mergeCell ref="F14:F15"/>
    <mergeCell ref="G14:G15"/>
    <mergeCell ref="H12:H15"/>
    <mergeCell ref="I12:I15"/>
    <mergeCell ref="C12:C15"/>
    <mergeCell ref="B12:B15"/>
    <mergeCell ref="A12:A15"/>
    <mergeCell ref="H3:I3"/>
    <mergeCell ref="H4:I4"/>
    <mergeCell ref="H5:I5"/>
    <mergeCell ref="H6:I6"/>
    <mergeCell ref="H1:I1"/>
    <mergeCell ref="H2:I2"/>
  </mergeCells>
  <phoneticPr fontId="10" type="noConversion"/>
  <pageMargins left="0.70866141732283472" right="0.70866141732283472" top="0.78740157480314965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2021-03-02T07:27:39Z</cp:lastPrinted>
  <dcterms:created xsi:type="dcterms:W3CDTF">2019-10-15T09:40:57Z</dcterms:created>
  <dcterms:modified xsi:type="dcterms:W3CDTF">2021-03-02T07:39:49Z</dcterms:modified>
</cp:coreProperties>
</file>